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Arbeitsvorlagen PRE\Vorlagen_Stand_04072022\"/>
    </mc:Choice>
  </mc:AlternateContent>
  <bookViews>
    <workbookView xWindow="0" yWindow="0" windowWidth="19200" windowHeight="6525"/>
  </bookViews>
  <sheets>
    <sheet name="Panoramica SP" sheetId="1" r:id="rId1"/>
    <sheet name="Conto economico" sheetId="10" r:id="rId2"/>
    <sheet name="Fonti di finanziamento" sheetId="6" r:id="rId3"/>
    <sheet name="Panoramica Cashflow" sheetId="14" r:id="rId4"/>
    <sheet name="CMV" sheetId="13" r:id="rId5"/>
    <sheet name="Esempio ipotesi" sheetId="9" r:id="rId6"/>
    <sheet name="Dropdown input" sheetId="11" state="hidden" r:id="rId7"/>
  </sheets>
  <definedNames>
    <definedName name="_xlnm.Print_Area" localSheetId="1">'Conto economico'!$A$1:$U$61</definedName>
    <definedName name="_xlnm.Print_Area" localSheetId="6">'Dropdown input'!$A$1:$P$63</definedName>
    <definedName name="_xlnm.Print_Area" localSheetId="5">'Esempio ipotesi'!$A$1:$P$127</definedName>
    <definedName name="_xlnm.Print_Area" localSheetId="2">'Fonti di finanziamento'!$A$1:$O$173</definedName>
    <definedName name="_xlnm.Print_Area" localSheetId="0">'Panoramica SP'!$A$1:$AF$48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 r="C44" i="1"/>
  <c r="N59" i="11" l="1"/>
  <c r="N58" i="11"/>
  <c r="N57" i="11"/>
  <c r="N56" i="11"/>
  <c r="N55" i="11"/>
  <c r="N54" i="11"/>
  <c r="N53" i="11"/>
  <c r="N52" i="11"/>
  <c r="N51" i="11"/>
  <c r="M59" i="11"/>
  <c r="M58" i="11"/>
  <c r="M57" i="11"/>
  <c r="M56" i="11"/>
  <c r="M55" i="11"/>
  <c r="M54" i="11"/>
  <c r="M53" i="11"/>
  <c r="M52" i="11"/>
  <c r="M51" i="11"/>
  <c r="K56" i="11"/>
  <c r="K55" i="11"/>
  <c r="K54" i="11"/>
  <c r="K53" i="11"/>
  <c r="K52" i="11"/>
  <c r="K51" i="11"/>
  <c r="J56" i="11"/>
  <c r="J55" i="11"/>
  <c r="J54" i="11"/>
  <c r="J53" i="11"/>
  <c r="J52" i="11"/>
  <c r="J51" i="11"/>
  <c r="H61" i="11"/>
  <c r="H60" i="11"/>
  <c r="H59" i="11"/>
  <c r="H58" i="11"/>
  <c r="H57" i="11"/>
  <c r="H56" i="11"/>
  <c r="H55" i="11"/>
  <c r="H53" i="11"/>
  <c r="G59" i="11"/>
  <c r="G58" i="11"/>
  <c r="G57" i="11"/>
  <c r="G56" i="11"/>
  <c r="G55" i="11"/>
  <c r="G54" i="11"/>
  <c r="G53" i="11"/>
  <c r="E58" i="11"/>
  <c r="E57" i="11"/>
  <c r="E56" i="11"/>
  <c r="E55" i="11"/>
  <c r="E54" i="11"/>
  <c r="E53" i="11"/>
  <c r="D58" i="11" l="1"/>
  <c r="D57" i="11"/>
  <c r="D56" i="11"/>
  <c r="D55" i="11"/>
  <c r="D54" i="11"/>
  <c r="D53" i="11"/>
  <c r="G160" i="6" l="1"/>
  <c r="H160" i="6"/>
  <c r="I160" i="6"/>
  <c r="J157" i="6"/>
  <c r="I159" i="6"/>
  <c r="H159" i="6"/>
  <c r="G159" i="6"/>
  <c r="F159" i="6"/>
  <c r="G158" i="6"/>
  <c r="H158" i="6"/>
  <c r="I158" i="6"/>
  <c r="J158" i="6"/>
  <c r="K158" i="6"/>
  <c r="L158" i="6"/>
  <c r="F158" i="6"/>
  <c r="N18" i="6"/>
  <c r="N17" i="6"/>
  <c r="L146" i="6"/>
  <c r="O143" i="6"/>
  <c r="N143" i="6"/>
  <c r="O142" i="6"/>
  <c r="N142" i="6"/>
  <c r="O141" i="6"/>
  <c r="N141" i="6"/>
  <c r="O140" i="6"/>
  <c r="N140" i="6"/>
  <c r="O139" i="6"/>
  <c r="N139" i="6"/>
  <c r="O138" i="6"/>
  <c r="N138" i="6"/>
  <c r="O137" i="6"/>
  <c r="N137" i="6"/>
  <c r="L136" i="6"/>
  <c r="O135" i="6"/>
  <c r="N135" i="6"/>
  <c r="L131" i="6"/>
  <c r="O128" i="6"/>
  <c r="N128" i="6"/>
  <c r="O127" i="6"/>
  <c r="N127" i="6"/>
  <c r="O126" i="6"/>
  <c r="N126" i="6"/>
  <c r="O125" i="6"/>
  <c r="N125" i="6"/>
  <c r="O124" i="6"/>
  <c r="N124" i="6"/>
  <c r="O123" i="6"/>
  <c r="N123" i="6"/>
  <c r="O122" i="6"/>
  <c r="N122" i="6"/>
  <c r="L121" i="6"/>
  <c r="O120" i="6"/>
  <c r="N120" i="6"/>
  <c r="L116" i="6"/>
  <c r="O113" i="6"/>
  <c r="N113" i="6"/>
  <c r="O112" i="6"/>
  <c r="N112" i="6"/>
  <c r="O111" i="6"/>
  <c r="N111" i="6"/>
  <c r="O110" i="6"/>
  <c r="N110" i="6"/>
  <c r="O109" i="6"/>
  <c r="N109" i="6"/>
  <c r="O108" i="6"/>
  <c r="N108" i="6"/>
  <c r="O107" i="6"/>
  <c r="N107" i="6"/>
  <c r="L106" i="6"/>
  <c r="O105" i="6"/>
  <c r="N105" i="6"/>
  <c r="L101" i="6"/>
  <c r="O98" i="6"/>
  <c r="N98" i="6"/>
  <c r="O97" i="6"/>
  <c r="N97" i="6"/>
  <c r="O96" i="6"/>
  <c r="N96" i="6"/>
  <c r="O95" i="6"/>
  <c r="N95" i="6"/>
  <c r="O94" i="6"/>
  <c r="N94" i="6"/>
  <c r="O93" i="6"/>
  <c r="N93" i="6"/>
  <c r="O92" i="6"/>
  <c r="N92" i="6"/>
  <c r="L91" i="6"/>
  <c r="O90" i="6"/>
  <c r="N90" i="6"/>
  <c r="L86" i="6"/>
  <c r="O83" i="6"/>
  <c r="N83" i="6"/>
  <c r="O82" i="6"/>
  <c r="N82" i="6"/>
  <c r="O81" i="6"/>
  <c r="N81" i="6"/>
  <c r="O80" i="6"/>
  <c r="N80" i="6"/>
  <c r="O79" i="6"/>
  <c r="N79" i="6"/>
  <c r="O78" i="6"/>
  <c r="N78" i="6"/>
  <c r="O77" i="6"/>
  <c r="N77" i="6"/>
  <c r="L76" i="6"/>
  <c r="O75" i="6"/>
  <c r="N75" i="6"/>
  <c r="L71" i="6"/>
  <c r="L54" i="6"/>
  <c r="O68" i="6"/>
  <c r="N68" i="6"/>
  <c r="O67" i="6"/>
  <c r="N67" i="6"/>
  <c r="O66" i="6"/>
  <c r="N66" i="6"/>
  <c r="O65" i="6"/>
  <c r="N65" i="6"/>
  <c r="O64" i="6"/>
  <c r="N64" i="6"/>
  <c r="O63" i="6"/>
  <c r="N63" i="6"/>
  <c r="O62" i="6"/>
  <c r="N62" i="6"/>
  <c r="L61" i="6"/>
  <c r="O60" i="6"/>
  <c r="N60" i="6"/>
  <c r="G166" i="6"/>
  <c r="H166" i="6"/>
  <c r="I166" i="6"/>
  <c r="J166" i="6"/>
  <c r="K166" i="6"/>
  <c r="L166" i="6"/>
  <c r="F166" i="6"/>
  <c r="G165" i="6"/>
  <c r="H165" i="6"/>
  <c r="I165" i="6"/>
  <c r="J165" i="6"/>
  <c r="K165" i="6"/>
  <c r="F165" i="6"/>
  <c r="G164" i="6"/>
  <c r="H164" i="6"/>
  <c r="I164" i="6"/>
  <c r="J164" i="6"/>
  <c r="K164" i="6"/>
  <c r="L164" i="6"/>
  <c r="F164" i="6"/>
  <c r="E164" i="6"/>
  <c r="G161" i="6"/>
  <c r="H161" i="6"/>
  <c r="I161" i="6"/>
  <c r="J161" i="6"/>
  <c r="K161" i="6"/>
  <c r="L161" i="6"/>
  <c r="F161" i="6"/>
  <c r="J160" i="6"/>
  <c r="K160" i="6"/>
  <c r="L160" i="6"/>
  <c r="F160" i="6"/>
  <c r="J159" i="6"/>
  <c r="K159" i="6"/>
  <c r="L159" i="6"/>
  <c r="G157" i="6"/>
  <c r="H157" i="6"/>
  <c r="H162" i="6" s="1"/>
  <c r="I157" i="6"/>
  <c r="K157" i="6"/>
  <c r="L157" i="6"/>
  <c r="F157" i="6"/>
  <c r="E157" i="6"/>
  <c r="D164" i="6" l="1"/>
  <c r="D157" i="6"/>
  <c r="B2" i="14"/>
  <c r="L7" i="14"/>
  <c r="K7" i="14"/>
  <c r="J7" i="14"/>
  <c r="I7" i="14"/>
  <c r="H7" i="14"/>
  <c r="G7" i="14"/>
  <c r="F7" i="14"/>
  <c r="E7" i="14"/>
  <c r="D13" i="6" l="1"/>
  <c r="B2" i="6" l="1"/>
  <c r="F6" i="13" l="1"/>
  <c r="F7" i="13"/>
  <c r="F8" i="13"/>
  <c r="F9" i="13"/>
  <c r="F10" i="13"/>
  <c r="F11" i="13"/>
  <c r="F12" i="13"/>
  <c r="F13" i="13"/>
  <c r="F14" i="13"/>
  <c r="F15" i="13"/>
  <c r="F16" i="13"/>
  <c r="F17" i="13"/>
  <c r="F18" i="13"/>
  <c r="F19" i="13"/>
  <c r="F20" i="13"/>
  <c r="F21" i="13"/>
  <c r="F22" i="13"/>
  <c r="F5" i="13"/>
  <c r="C3" i="1" l="1"/>
  <c r="E8" i="13"/>
  <c r="I23" i="10" l="1"/>
  <c r="I24" i="10"/>
  <c r="I25" i="10"/>
  <c r="I26" i="10"/>
  <c r="C23" i="10"/>
  <c r="C24" i="10"/>
  <c r="C25" i="10"/>
  <c r="C26" i="10"/>
  <c r="I11" i="10"/>
  <c r="I12" i="10"/>
  <c r="I13" i="10"/>
  <c r="I14" i="10"/>
  <c r="I15" i="10"/>
  <c r="I16" i="10"/>
  <c r="I17" i="10"/>
  <c r="I18" i="10"/>
  <c r="C11" i="10"/>
  <c r="C12" i="10"/>
  <c r="C13" i="10"/>
  <c r="C14" i="10"/>
  <c r="C15" i="10"/>
  <c r="C16" i="10"/>
  <c r="C17" i="10"/>
  <c r="C18" i="10"/>
  <c r="I10" i="10"/>
  <c r="C10" i="10"/>
  <c r="N23" i="10"/>
  <c r="N24" i="10"/>
  <c r="N25" i="10"/>
  <c r="N26" i="10"/>
  <c r="O21" i="10"/>
  <c r="I21" i="10" s="1"/>
  <c r="O22" i="10"/>
  <c r="I22" i="10" s="1"/>
  <c r="O23" i="10"/>
  <c r="O24" i="10"/>
  <c r="O25" i="10"/>
  <c r="O26" i="10"/>
  <c r="O20" i="10"/>
  <c r="I20" i="10" s="1"/>
  <c r="N21" i="10"/>
  <c r="C21" i="10" s="1"/>
  <c r="N22" i="10"/>
  <c r="C22" i="10" s="1"/>
  <c r="N20" i="10"/>
  <c r="C20" i="10" s="1"/>
  <c r="D28" i="6" l="1"/>
  <c r="H41" i="6" l="1"/>
  <c r="H26" i="6"/>
  <c r="F26" i="6"/>
  <c r="E26" i="6"/>
  <c r="AE44" i="1" l="1"/>
  <c r="AF44" i="1" s="1"/>
  <c r="D44" i="1"/>
  <c r="AE45" i="1"/>
  <c r="C45" i="1"/>
  <c r="D45" i="1"/>
  <c r="AE46" i="1"/>
  <c r="AF46" i="1" s="1"/>
  <c r="C46" i="1"/>
  <c r="D46" i="1"/>
  <c r="B47" i="1"/>
  <c r="AE47" i="1"/>
  <c r="C47" i="1"/>
  <c r="K47" i="1"/>
  <c r="E46" i="1" l="1"/>
  <c r="E45" i="1"/>
  <c r="G46" i="1"/>
  <c r="G44" i="1"/>
  <c r="D47" i="1"/>
  <c r="E47" i="1" s="1"/>
  <c r="I44" i="1"/>
  <c r="I46" i="1"/>
  <c r="F46" i="1"/>
  <c r="AF45" i="1"/>
  <c r="I45" i="1" s="1"/>
  <c r="F44" i="1"/>
  <c r="E158" i="6"/>
  <c r="D158" i="6" s="1"/>
  <c r="G86" i="6"/>
  <c r="K56" i="6"/>
  <c r="J41" i="6"/>
  <c r="H44" i="1" l="1"/>
  <c r="J44" i="1" s="1"/>
  <c r="G45" i="1"/>
  <c r="H46" i="1"/>
  <c r="J46" i="1" s="1"/>
  <c r="L46" i="1" s="1"/>
  <c r="M46" i="1" s="1"/>
  <c r="N46" i="1" s="1"/>
  <c r="O46" i="1" s="1"/>
  <c r="P46" i="1" s="1"/>
  <c r="F45" i="1"/>
  <c r="F47" i="1" s="1"/>
  <c r="E166" i="6"/>
  <c r="D166" i="6" s="1"/>
  <c r="E165" i="6"/>
  <c r="E159" i="6"/>
  <c r="D159" i="6" s="1"/>
  <c r="E160" i="6"/>
  <c r="D160" i="6" s="1"/>
  <c r="E161" i="6"/>
  <c r="D161" i="6" s="1"/>
  <c r="H146" i="6"/>
  <c r="E146" i="6"/>
  <c r="K146" i="6"/>
  <c r="J146" i="6"/>
  <c r="I146" i="6"/>
  <c r="G146" i="6"/>
  <c r="F146" i="6"/>
  <c r="K131" i="6"/>
  <c r="J131" i="6"/>
  <c r="I131" i="6"/>
  <c r="H131" i="6"/>
  <c r="G131" i="6"/>
  <c r="F131" i="6"/>
  <c r="E131" i="6"/>
  <c r="K116" i="6"/>
  <c r="J116" i="6"/>
  <c r="I116" i="6"/>
  <c r="H116" i="6"/>
  <c r="G116" i="6"/>
  <c r="F116" i="6"/>
  <c r="E116" i="6"/>
  <c r="K101" i="6"/>
  <c r="J101" i="6"/>
  <c r="I101" i="6"/>
  <c r="H101" i="6"/>
  <c r="G101" i="6"/>
  <c r="F101" i="6"/>
  <c r="E101" i="6"/>
  <c r="K86" i="6"/>
  <c r="J86" i="6"/>
  <c r="I86" i="6"/>
  <c r="H86" i="6"/>
  <c r="F86" i="6"/>
  <c r="E86" i="6"/>
  <c r="H71" i="6"/>
  <c r="F71" i="6"/>
  <c r="K71" i="6"/>
  <c r="J71" i="6"/>
  <c r="I71" i="6"/>
  <c r="G71" i="6"/>
  <c r="E71" i="6"/>
  <c r="H56" i="6"/>
  <c r="E56" i="6"/>
  <c r="L56" i="6"/>
  <c r="J56" i="6"/>
  <c r="I56" i="6"/>
  <c r="G56" i="6"/>
  <c r="F56" i="6"/>
  <c r="K41" i="6"/>
  <c r="I41" i="6"/>
  <c r="G41" i="6"/>
  <c r="F41" i="6"/>
  <c r="E41" i="6"/>
  <c r="L41" i="6"/>
  <c r="L26" i="6"/>
  <c r="K26" i="6"/>
  <c r="J26" i="6"/>
  <c r="I26" i="6"/>
  <c r="G26" i="6"/>
  <c r="E27" i="1"/>
  <c r="M27" i="1" s="1"/>
  <c r="E28" i="1"/>
  <c r="M28" i="1" s="1"/>
  <c r="E29" i="1"/>
  <c r="H29" i="1" s="1"/>
  <c r="E30" i="1"/>
  <c r="K30" i="1" s="1"/>
  <c r="E31" i="1"/>
  <c r="J31" i="1" s="1"/>
  <c r="E32" i="1"/>
  <c r="H32" i="1" s="1"/>
  <c r="E33" i="1"/>
  <c r="J33" i="1" s="1"/>
  <c r="E34" i="1"/>
  <c r="K34" i="1" s="1"/>
  <c r="E26" i="1"/>
  <c r="J26" i="1" s="1"/>
  <c r="H18" i="11"/>
  <c r="G18" i="11"/>
  <c r="L44" i="1" l="1"/>
  <c r="M44" i="1" s="1"/>
  <c r="N44" i="1" s="1"/>
  <c r="O44" i="1" s="1"/>
  <c r="P44" i="1" s="1"/>
  <c r="F173" i="6"/>
  <c r="F23" i="14" s="1"/>
  <c r="H173" i="6"/>
  <c r="H23" i="14" s="1"/>
  <c r="E173" i="6"/>
  <c r="E23" i="14" s="1"/>
  <c r="J173" i="6"/>
  <c r="J23" i="14" s="1"/>
  <c r="G173" i="6"/>
  <c r="G23" i="14" s="1"/>
  <c r="K173" i="6"/>
  <c r="K23" i="14" s="1"/>
  <c r="L173" i="6"/>
  <c r="I173" i="6"/>
  <c r="I23" i="14" s="1"/>
  <c r="M33" i="1"/>
  <c r="H33" i="1"/>
  <c r="K29" i="1"/>
  <c r="J29" i="1"/>
  <c r="K33" i="1"/>
  <c r="M29" i="1"/>
  <c r="K31" i="1"/>
  <c r="H26" i="1"/>
  <c r="H31" i="1"/>
  <c r="J34" i="1"/>
  <c r="K28" i="1"/>
  <c r="M32" i="1"/>
  <c r="H28" i="1"/>
  <c r="J32" i="1"/>
  <c r="K26" i="1"/>
  <c r="H34" i="1"/>
  <c r="J28" i="1"/>
  <c r="K32" i="1"/>
  <c r="M26" i="1"/>
  <c r="N26" i="1" s="1"/>
  <c r="M31" i="1"/>
  <c r="M34" i="1"/>
  <c r="H45" i="1"/>
  <c r="E162" i="6"/>
  <c r="E163" i="6" s="1"/>
  <c r="D146" i="6"/>
  <c r="D131" i="6"/>
  <c r="D101" i="6"/>
  <c r="D116" i="6"/>
  <c r="D56" i="6"/>
  <c r="D86" i="6"/>
  <c r="D71" i="6"/>
  <c r="D41" i="6"/>
  <c r="D26" i="6"/>
  <c r="H27" i="1"/>
  <c r="J27" i="1"/>
  <c r="K27" i="1"/>
  <c r="J30" i="1"/>
  <c r="M30" i="1"/>
  <c r="H30" i="1"/>
  <c r="L23" i="14" l="1"/>
  <c r="D173" i="6"/>
  <c r="E167" i="6"/>
  <c r="J45" i="1"/>
  <c r="H47" i="1"/>
  <c r="G47" i="1" s="1"/>
  <c r="I162" i="6"/>
  <c r="G162" i="6"/>
  <c r="F162" i="6"/>
  <c r="F163" i="6" s="1"/>
  <c r="J162" i="6"/>
  <c r="J167" i="6" s="1"/>
  <c r="J22" i="14" s="1"/>
  <c r="J20" i="14" s="1"/>
  <c r="L162" i="6"/>
  <c r="K162" i="6"/>
  <c r="K167" i="6" s="1"/>
  <c r="K22" i="14" s="1"/>
  <c r="K20" i="14" s="1"/>
  <c r="H46" i="10"/>
  <c r="J46" i="10"/>
  <c r="I46" i="10"/>
  <c r="F46" i="10"/>
  <c r="D46" i="10"/>
  <c r="E46" i="10"/>
  <c r="G46" i="10"/>
  <c r="C46" i="10"/>
  <c r="H167" i="6" l="1"/>
  <c r="H22" i="14" s="1"/>
  <c r="H20" i="14" s="1"/>
  <c r="G167" i="6"/>
  <c r="G22" i="14" s="1"/>
  <c r="G20" i="14" s="1"/>
  <c r="G163" i="6"/>
  <c r="H163" i="6" s="1"/>
  <c r="E22" i="14"/>
  <c r="E20" i="14" s="1"/>
  <c r="E21" i="14" s="1"/>
  <c r="I167" i="6"/>
  <c r="I22" i="14" s="1"/>
  <c r="I20" i="14" s="1"/>
  <c r="D162" i="6"/>
  <c r="F167" i="6"/>
  <c r="F22" i="14" s="1"/>
  <c r="F20" i="14" s="1"/>
  <c r="L45" i="1"/>
  <c r="M45" i="1" s="1"/>
  <c r="N45" i="1" s="1"/>
  <c r="O45" i="1" s="1"/>
  <c r="J47" i="1"/>
  <c r="B6" i="13"/>
  <c r="C6" i="13"/>
  <c r="B7" i="13"/>
  <c r="C7" i="13"/>
  <c r="B8" i="13"/>
  <c r="C8" i="13"/>
  <c r="B9" i="13"/>
  <c r="C9" i="13"/>
  <c r="B10" i="13"/>
  <c r="C10" i="13"/>
  <c r="B11" i="13"/>
  <c r="C11" i="13"/>
  <c r="B12" i="13"/>
  <c r="C12" i="13"/>
  <c r="B13" i="13"/>
  <c r="C13" i="13"/>
  <c r="B14" i="13"/>
  <c r="C14" i="13"/>
  <c r="B15" i="13"/>
  <c r="C15" i="13"/>
  <c r="B16" i="13"/>
  <c r="C16" i="13"/>
  <c r="B17" i="13"/>
  <c r="C17" i="13"/>
  <c r="B18" i="13"/>
  <c r="C18" i="13"/>
  <c r="B19" i="13"/>
  <c r="C19" i="13"/>
  <c r="B20" i="13"/>
  <c r="C20" i="13"/>
  <c r="B21" i="13"/>
  <c r="C21" i="13"/>
  <c r="B22" i="13"/>
  <c r="C22" i="13"/>
  <c r="C5" i="13"/>
  <c r="B5" i="13"/>
  <c r="A5" i="13"/>
  <c r="I163" i="6" l="1"/>
  <c r="F21" i="14"/>
  <c r="G21" i="14" s="1"/>
  <c r="H21" i="14" s="1"/>
  <c r="I21" i="14" s="1"/>
  <c r="J21" i="14" s="1"/>
  <c r="K21" i="14" s="1"/>
  <c r="P45" i="1"/>
  <c r="O47" i="1"/>
  <c r="Q47" i="1" s="1"/>
  <c r="L47" i="1"/>
  <c r="I47" i="1"/>
  <c r="C5" i="1"/>
  <c r="C6" i="1"/>
  <c r="C7" i="1"/>
  <c r="C8" i="1"/>
  <c r="C4" i="1"/>
  <c r="J163" i="6" l="1"/>
  <c r="M47" i="1"/>
  <c r="N47" i="1" s="1"/>
  <c r="P47" i="1"/>
  <c r="L17" i="13"/>
  <c r="G17" i="13"/>
  <c r="L16" i="13"/>
  <c r="G16" i="13"/>
  <c r="L15" i="13"/>
  <c r="G15" i="13"/>
  <c r="L14" i="13"/>
  <c r="G14" i="13"/>
  <c r="L13" i="13"/>
  <c r="G13" i="13"/>
  <c r="L12" i="13"/>
  <c r="G12" i="13"/>
  <c r="L11" i="13"/>
  <c r="G11" i="13"/>
  <c r="L10" i="13"/>
  <c r="G10" i="13"/>
  <c r="L9" i="13"/>
  <c r="G9" i="13"/>
  <c r="E7" i="13"/>
  <c r="E6" i="13"/>
  <c r="D6" i="13"/>
  <c r="K163" i="6" l="1"/>
  <c r="L163" i="6" s="1"/>
  <c r="D8" i="13"/>
  <c r="R8" i="13" s="1"/>
  <c r="D7" i="13"/>
  <c r="R7" i="13" s="1"/>
  <c r="G61" i="11"/>
  <c r="D17" i="13" s="1"/>
  <c r="R17" i="13" s="1"/>
  <c r="G60" i="11"/>
  <c r="D16" i="13" s="1"/>
  <c r="R16" i="13" s="1"/>
  <c r="E16" i="13"/>
  <c r="E17" i="13"/>
  <c r="E15" i="13"/>
  <c r="E14" i="13"/>
  <c r="H54" i="11"/>
  <c r="E9" i="13"/>
  <c r="E13" i="13" l="1"/>
  <c r="E12" i="13"/>
  <c r="E10" i="13"/>
  <c r="E11" i="13"/>
  <c r="D12" i="13"/>
  <c r="R12" i="13" s="1"/>
  <c r="D9" i="13"/>
  <c r="R9" i="13" s="1"/>
  <c r="D13" i="13"/>
  <c r="R13" i="13" s="1"/>
  <c r="D10" i="13"/>
  <c r="R10" i="13" s="1"/>
  <c r="D14" i="13"/>
  <c r="R14" i="13" s="1"/>
  <c r="D11" i="13"/>
  <c r="R11" i="13" s="1"/>
  <c r="D15" i="13"/>
  <c r="R15" i="13" s="1"/>
  <c r="N27" i="1" l="1"/>
  <c r="N28" i="1"/>
  <c r="N29" i="1"/>
  <c r="N30" i="1"/>
  <c r="N31" i="1"/>
  <c r="N32" i="1"/>
  <c r="N33" i="1"/>
  <c r="N34" i="1"/>
  <c r="P35" i="1" l="1"/>
  <c r="C10" i="9" l="1"/>
  <c r="D133" i="6" l="1"/>
  <c r="D118" i="6"/>
  <c r="D103" i="6"/>
  <c r="D73" i="6"/>
  <c r="D58" i="6"/>
  <c r="D43" i="6"/>
  <c r="O14" i="6"/>
  <c r="O19" i="6" l="1"/>
  <c r="G34" i="1"/>
  <c r="I34" i="1" l="1"/>
  <c r="O34" i="1" s="1"/>
  <c r="L34" i="1" l="1"/>
  <c r="Q34" i="1"/>
  <c r="R34" i="1" s="1"/>
  <c r="S34" i="1" l="1"/>
  <c r="T34" i="1" s="1"/>
  <c r="V34" i="1" l="1"/>
  <c r="D134" i="6"/>
  <c r="L134" i="6" s="1"/>
  <c r="U34" i="1"/>
  <c r="S8" i="10"/>
  <c r="R8" i="10"/>
  <c r="Q8" i="10"/>
  <c r="O134" i="6" l="1"/>
  <c r="O133" i="6" s="1"/>
  <c r="L133" i="6"/>
  <c r="N134" i="6"/>
  <c r="M134" i="6"/>
  <c r="G27" i="1"/>
  <c r="G28" i="1"/>
  <c r="G29" i="1"/>
  <c r="G30" i="1"/>
  <c r="G31" i="1"/>
  <c r="G32" i="1"/>
  <c r="G33" i="1"/>
  <c r="G26" i="1"/>
  <c r="H10" i="11" l="1"/>
  <c r="G10" i="11"/>
  <c r="I28" i="1" l="1"/>
  <c r="O28" i="1" s="1"/>
  <c r="I30" i="1"/>
  <c r="O30" i="1" s="1"/>
  <c r="L30" i="1" l="1"/>
  <c r="L28" i="1"/>
  <c r="I26" i="1"/>
  <c r="O26" i="1" s="1"/>
  <c r="I31" i="1"/>
  <c r="O31" i="1" s="1"/>
  <c r="I29" i="1"/>
  <c r="O29" i="1" s="1"/>
  <c r="I27" i="1"/>
  <c r="O27" i="1" s="1"/>
  <c r="L27" i="1" l="1"/>
  <c r="L29" i="1"/>
  <c r="Q29" i="1"/>
  <c r="R29" i="1" s="1"/>
  <c r="L31" i="1"/>
  <c r="L26" i="1"/>
  <c r="Q26" i="1"/>
  <c r="R26" i="1" s="1"/>
  <c r="S26" i="1" s="1"/>
  <c r="Q28" i="1"/>
  <c r="R28" i="1" s="1"/>
  <c r="Q31" i="1"/>
  <c r="R31" i="1" s="1"/>
  <c r="C9" i="10"/>
  <c r="G5" i="13" s="1"/>
  <c r="Q27" i="1" l="1"/>
  <c r="R27" i="1" s="1"/>
  <c r="Q30" i="1"/>
  <c r="R30" i="1" s="1"/>
  <c r="S30" i="1" s="1"/>
  <c r="S28" i="1"/>
  <c r="T28" i="1" s="1"/>
  <c r="V28" i="1" s="1"/>
  <c r="B2" i="10"/>
  <c r="D44" i="6" l="1"/>
  <c r="S27" i="1"/>
  <c r="T27" i="1" l="1"/>
  <c r="V27" i="1" s="1"/>
  <c r="K136" i="6"/>
  <c r="J136" i="6"/>
  <c r="I136" i="6"/>
  <c r="H136" i="6"/>
  <c r="G136" i="6"/>
  <c r="F136" i="6"/>
  <c r="E136" i="6"/>
  <c r="E144" i="6" s="1"/>
  <c r="K121" i="6"/>
  <c r="J121" i="6"/>
  <c r="I121" i="6"/>
  <c r="H121" i="6"/>
  <c r="G121" i="6"/>
  <c r="F121" i="6"/>
  <c r="E121" i="6"/>
  <c r="E129" i="6" s="1"/>
  <c r="K106" i="6"/>
  <c r="J106" i="6"/>
  <c r="I106" i="6"/>
  <c r="H106" i="6"/>
  <c r="G106" i="6"/>
  <c r="F106" i="6"/>
  <c r="E106" i="6"/>
  <c r="E114" i="6" s="1"/>
  <c r="K91" i="6"/>
  <c r="J91" i="6"/>
  <c r="I91" i="6"/>
  <c r="H91" i="6"/>
  <c r="G91" i="6"/>
  <c r="F91" i="6"/>
  <c r="E91" i="6"/>
  <c r="E99" i="6" s="1"/>
  <c r="O48" i="6"/>
  <c r="O49" i="6"/>
  <c r="O50" i="6"/>
  <c r="O51" i="6"/>
  <c r="O52" i="6"/>
  <c r="O53" i="6"/>
  <c r="O47" i="6"/>
  <c r="O45" i="6"/>
  <c r="O33" i="6"/>
  <c r="O34" i="6"/>
  <c r="O35" i="6"/>
  <c r="O36" i="6"/>
  <c r="O37" i="6"/>
  <c r="O38" i="6"/>
  <c r="O30" i="6"/>
  <c r="O32" i="6"/>
  <c r="O17" i="6"/>
  <c r="L144" i="6" l="1"/>
  <c r="K103" i="6"/>
  <c r="L114" i="6"/>
  <c r="K88" i="6"/>
  <c r="L99" i="6"/>
  <c r="L129" i="6"/>
  <c r="D29" i="6"/>
  <c r="I144" i="6"/>
  <c r="F133" i="6"/>
  <c r="F144" i="6"/>
  <c r="J133" i="6"/>
  <c r="J144" i="6"/>
  <c r="G133" i="6"/>
  <c r="G144" i="6"/>
  <c r="K133" i="6"/>
  <c r="K144" i="6"/>
  <c r="H133" i="6"/>
  <c r="H144" i="6"/>
  <c r="F118" i="6"/>
  <c r="F129" i="6"/>
  <c r="J118" i="6"/>
  <c r="J129" i="6"/>
  <c r="I118" i="6"/>
  <c r="I129" i="6"/>
  <c r="G118" i="6"/>
  <c r="G129" i="6"/>
  <c r="K118" i="6"/>
  <c r="K129" i="6"/>
  <c r="H118" i="6"/>
  <c r="H129" i="6"/>
  <c r="F114" i="6"/>
  <c r="K114" i="6"/>
  <c r="I114" i="6"/>
  <c r="H103" i="6"/>
  <c r="H114" i="6"/>
  <c r="F103" i="6"/>
  <c r="J103" i="6"/>
  <c r="J114" i="6"/>
  <c r="G103" i="6"/>
  <c r="G114" i="6"/>
  <c r="H88" i="6"/>
  <c r="H99" i="6"/>
  <c r="I99" i="6"/>
  <c r="F88" i="6"/>
  <c r="F99" i="6"/>
  <c r="J88" i="6"/>
  <c r="J99" i="6"/>
  <c r="G99" i="6"/>
  <c r="K99" i="6"/>
  <c r="E118" i="6"/>
  <c r="G88" i="6"/>
  <c r="E133" i="6"/>
  <c r="I133" i="6"/>
  <c r="E103" i="6"/>
  <c r="I103" i="6"/>
  <c r="E88" i="6"/>
  <c r="I88" i="6"/>
  <c r="L151" i="6"/>
  <c r="L16" i="14" s="1"/>
  <c r="K151" i="6"/>
  <c r="K16" i="14" s="1"/>
  <c r="J151" i="6"/>
  <c r="J16" i="14" s="1"/>
  <c r="M133" i="6" l="1"/>
  <c r="N133" i="6"/>
  <c r="L145" i="6"/>
  <c r="E100" i="6"/>
  <c r="E145" i="6"/>
  <c r="E115" i="6"/>
  <c r="E130" i="6"/>
  <c r="D144" i="6"/>
  <c r="D129" i="6"/>
  <c r="D114" i="6"/>
  <c r="H130" i="6"/>
  <c r="D99" i="6"/>
  <c r="F130" i="6"/>
  <c r="F115" i="6"/>
  <c r="H145" i="6"/>
  <c r="F100" i="6"/>
  <c r="I145" i="6"/>
  <c r="F145" i="6"/>
  <c r="I130" i="6"/>
  <c r="K130" i="6"/>
  <c r="K145" i="6"/>
  <c r="J145" i="6"/>
  <c r="G145" i="6"/>
  <c r="J130" i="6"/>
  <c r="G130" i="6"/>
  <c r="G115" i="6"/>
  <c r="H115" i="6"/>
  <c r="H100" i="6"/>
  <c r="I100" i="6"/>
  <c r="I115" i="6"/>
  <c r="G100" i="6"/>
  <c r="J115" i="6"/>
  <c r="K115" i="6"/>
  <c r="K100" i="6"/>
  <c r="J100" i="6"/>
  <c r="K76" i="6"/>
  <c r="J76" i="6"/>
  <c r="I76" i="6"/>
  <c r="H76" i="6"/>
  <c r="H73" i="6" s="1"/>
  <c r="G76" i="6"/>
  <c r="F76" i="6"/>
  <c r="E76" i="6"/>
  <c r="K61" i="6"/>
  <c r="J61" i="6"/>
  <c r="I61" i="6"/>
  <c r="H61" i="6"/>
  <c r="G61" i="6"/>
  <c r="F61" i="6"/>
  <c r="E61" i="6"/>
  <c r="L46" i="6"/>
  <c r="K46" i="6"/>
  <c r="J46" i="6"/>
  <c r="I46" i="6"/>
  <c r="H46" i="6"/>
  <c r="G46" i="6"/>
  <c r="F46" i="6"/>
  <c r="E46" i="6"/>
  <c r="E54" i="6" s="1"/>
  <c r="L31" i="6"/>
  <c r="K31" i="6"/>
  <c r="J31" i="6"/>
  <c r="I31" i="6"/>
  <c r="H31" i="6"/>
  <c r="G31" i="6"/>
  <c r="F31" i="6"/>
  <c r="E31" i="6"/>
  <c r="E39" i="6" s="1"/>
  <c r="H28" i="6"/>
  <c r="F16" i="6"/>
  <c r="G16" i="6"/>
  <c r="H16" i="6"/>
  <c r="I16" i="6"/>
  <c r="J16" i="6"/>
  <c r="K16" i="6"/>
  <c r="L16" i="6"/>
  <c r="E16" i="6"/>
  <c r="E24" i="6" s="1"/>
  <c r="N45" i="6"/>
  <c r="N30" i="6"/>
  <c r="N53" i="6"/>
  <c r="N52" i="6"/>
  <c r="N51" i="6"/>
  <c r="N50" i="6"/>
  <c r="N49" i="6"/>
  <c r="N48" i="6"/>
  <c r="N47" i="6"/>
  <c r="N38" i="6"/>
  <c r="N37" i="6"/>
  <c r="N36" i="6"/>
  <c r="N35" i="6"/>
  <c r="N34" i="6"/>
  <c r="N33" i="6"/>
  <c r="N32" i="6"/>
  <c r="N19" i="6"/>
  <c r="N20" i="6"/>
  <c r="N21" i="6"/>
  <c r="N22" i="6"/>
  <c r="N23" i="6"/>
  <c r="D153" i="6"/>
  <c r="D154" i="6"/>
  <c r="D152" i="6"/>
  <c r="N15" i="6"/>
  <c r="L69" i="6" l="1"/>
  <c r="L84" i="6"/>
  <c r="H84" i="6"/>
  <c r="F84" i="6"/>
  <c r="E73" i="6"/>
  <c r="E84" i="6"/>
  <c r="I73" i="6"/>
  <c r="I84" i="6"/>
  <c r="J73" i="6"/>
  <c r="J84" i="6"/>
  <c r="G73" i="6"/>
  <c r="G84" i="6"/>
  <c r="K73" i="6"/>
  <c r="K84" i="6"/>
  <c r="E58" i="6"/>
  <c r="E69" i="6"/>
  <c r="I58" i="6"/>
  <c r="I69" i="6"/>
  <c r="F58" i="6"/>
  <c r="F70" i="6" s="1"/>
  <c r="F69" i="6"/>
  <c r="J58" i="6"/>
  <c r="J69" i="6"/>
  <c r="G58" i="6"/>
  <c r="G70" i="6" s="1"/>
  <c r="G69" i="6"/>
  <c r="K58" i="6"/>
  <c r="K69" i="6"/>
  <c r="H58" i="6"/>
  <c r="H70" i="6" s="1"/>
  <c r="H69" i="6"/>
  <c r="E43" i="6"/>
  <c r="I43" i="6"/>
  <c r="I54" i="6"/>
  <c r="F43" i="6"/>
  <c r="F54" i="6"/>
  <c r="J43" i="6"/>
  <c r="J54" i="6"/>
  <c r="G43" i="6"/>
  <c r="G54" i="6"/>
  <c r="K43" i="6"/>
  <c r="K54" i="6"/>
  <c r="H39" i="6"/>
  <c r="H43" i="6"/>
  <c r="H54" i="6"/>
  <c r="I28" i="6"/>
  <c r="I39" i="6"/>
  <c r="F28" i="6"/>
  <c r="F39" i="6"/>
  <c r="J28" i="6"/>
  <c r="J39" i="6"/>
  <c r="G28" i="6"/>
  <c r="G39" i="6"/>
  <c r="K28" i="6"/>
  <c r="K39" i="6"/>
  <c r="L39" i="6"/>
  <c r="H13" i="6"/>
  <c r="H24" i="6"/>
  <c r="I13" i="6"/>
  <c r="I24" i="6"/>
  <c r="K13" i="6"/>
  <c r="K24" i="6"/>
  <c r="K171" i="6" s="1"/>
  <c r="G13" i="6"/>
  <c r="G24" i="6"/>
  <c r="L24" i="6"/>
  <c r="J13" i="6"/>
  <c r="J17" i="14" s="1"/>
  <c r="J14" i="14" s="1"/>
  <c r="J24" i="6"/>
  <c r="F13" i="6"/>
  <c r="F24" i="6"/>
  <c r="E13" i="6"/>
  <c r="D145" i="6"/>
  <c r="E28" i="6"/>
  <c r="F73" i="6"/>
  <c r="K30" i="10"/>
  <c r="F170" i="6" l="1"/>
  <c r="E170" i="6"/>
  <c r="M13" i="6"/>
  <c r="F171" i="6"/>
  <c r="D44" i="10" s="1"/>
  <c r="K17" i="14"/>
  <c r="K14" i="14" s="1"/>
  <c r="E171" i="6"/>
  <c r="C44" i="10" s="1"/>
  <c r="H171" i="6"/>
  <c r="F44" i="10" s="1"/>
  <c r="G171" i="6"/>
  <c r="E44" i="10" s="1"/>
  <c r="I171" i="6"/>
  <c r="G44" i="10" s="1"/>
  <c r="J171" i="6"/>
  <c r="H44" i="10" s="1"/>
  <c r="H170" i="6"/>
  <c r="H17" i="14"/>
  <c r="E17" i="14"/>
  <c r="E40" i="6"/>
  <c r="F17" i="14"/>
  <c r="E70" i="6"/>
  <c r="G17" i="14"/>
  <c r="I17" i="14"/>
  <c r="E55" i="6"/>
  <c r="E85" i="6"/>
  <c r="L171" i="6"/>
  <c r="E25" i="6"/>
  <c r="G55" i="6"/>
  <c r="K70" i="6"/>
  <c r="J70" i="6"/>
  <c r="I70" i="6"/>
  <c r="I55" i="6"/>
  <c r="I170" i="6"/>
  <c r="H55" i="6"/>
  <c r="J55" i="6"/>
  <c r="K55" i="6"/>
  <c r="D84" i="6"/>
  <c r="F55" i="6"/>
  <c r="G170" i="6"/>
  <c r="D69" i="6"/>
  <c r="J170" i="6"/>
  <c r="D39" i="6"/>
  <c r="K170" i="6"/>
  <c r="D54" i="6"/>
  <c r="F40" i="6"/>
  <c r="J40" i="6"/>
  <c r="H25" i="6"/>
  <c r="I25" i="6"/>
  <c r="J25" i="6"/>
  <c r="G25" i="6"/>
  <c r="F25" i="6"/>
  <c r="K25" i="6"/>
  <c r="G40" i="6"/>
  <c r="I85" i="6"/>
  <c r="F85" i="6"/>
  <c r="H85" i="6"/>
  <c r="K85" i="6"/>
  <c r="G85" i="6"/>
  <c r="J85" i="6"/>
  <c r="K40" i="6"/>
  <c r="I40" i="6"/>
  <c r="H40" i="6"/>
  <c r="I44" i="10"/>
  <c r="D24" i="6"/>
  <c r="J44" i="10" l="1"/>
  <c r="D171" i="6"/>
  <c r="G172" i="6"/>
  <c r="E34" i="10" s="1"/>
  <c r="K172" i="6"/>
  <c r="I34" i="10" s="1"/>
  <c r="E172" i="6"/>
  <c r="C34" i="10" s="1"/>
  <c r="C32" i="10" s="1"/>
  <c r="I172" i="6"/>
  <c r="G34" i="10" s="1"/>
  <c r="J172" i="6"/>
  <c r="H34" i="10" s="1"/>
  <c r="H172" i="6"/>
  <c r="F34" i="10" s="1"/>
  <c r="F172" i="6"/>
  <c r="D46" i="9"/>
  <c r="E46" i="9"/>
  <c r="F46" i="9"/>
  <c r="G46" i="9"/>
  <c r="H46" i="9"/>
  <c r="I46" i="9"/>
  <c r="J46" i="9"/>
  <c r="C46" i="9"/>
  <c r="D33" i="9"/>
  <c r="E33" i="9"/>
  <c r="F33" i="9"/>
  <c r="G33" i="9"/>
  <c r="H33" i="9"/>
  <c r="I33" i="9"/>
  <c r="J33" i="9"/>
  <c r="C33" i="9"/>
  <c r="J38" i="9"/>
  <c r="J20" i="9"/>
  <c r="D10" i="9"/>
  <c r="E10" i="9"/>
  <c r="F10" i="9"/>
  <c r="G10" i="9"/>
  <c r="H10" i="9"/>
  <c r="I10" i="9"/>
  <c r="J10" i="9"/>
  <c r="F12" i="6"/>
  <c r="G12" i="6"/>
  <c r="H12" i="6"/>
  <c r="I12" i="6"/>
  <c r="J12" i="6"/>
  <c r="K12" i="6"/>
  <c r="L12" i="6"/>
  <c r="E12" i="6"/>
  <c r="F149" i="6"/>
  <c r="G149" i="6"/>
  <c r="H149" i="6"/>
  <c r="I149" i="6"/>
  <c r="J149" i="6"/>
  <c r="K149" i="6"/>
  <c r="L149" i="6"/>
  <c r="E149" i="6"/>
  <c r="I58" i="10"/>
  <c r="J9" i="10" l="1"/>
  <c r="I19" i="10"/>
  <c r="S22" i="10" s="1"/>
  <c r="I9" i="10"/>
  <c r="L5" i="13" s="1"/>
  <c r="K10" i="10"/>
  <c r="S20" i="10" l="1"/>
  <c r="S21" i="10"/>
  <c r="S26" i="10"/>
  <c r="S25" i="10"/>
  <c r="S27" i="10"/>
  <c r="S24" i="10"/>
  <c r="S23" i="10"/>
  <c r="S13" i="10"/>
  <c r="S17" i="10"/>
  <c r="S14" i="10"/>
  <c r="S18" i="10"/>
  <c r="S10" i="10"/>
  <c r="S19" i="10" l="1"/>
  <c r="S31" i="1"/>
  <c r="T31" i="1" s="1"/>
  <c r="S29" i="1"/>
  <c r="T29" i="1" s="1"/>
  <c r="T30" i="1"/>
  <c r="V30" i="1" l="1"/>
  <c r="V31" i="1"/>
  <c r="V29" i="1"/>
  <c r="D59" i="6"/>
  <c r="L59" i="6" s="1"/>
  <c r="L44" i="6"/>
  <c r="M44" i="6" s="1"/>
  <c r="O59" i="6" l="1"/>
  <c r="O58" i="6" s="1"/>
  <c r="N59" i="6"/>
  <c r="L58" i="6"/>
  <c r="M59" i="6"/>
  <c r="O44" i="6"/>
  <c r="O43" i="6" s="1"/>
  <c r="L43" i="6"/>
  <c r="M43" i="6" s="1"/>
  <c r="N44" i="6"/>
  <c r="U29" i="1"/>
  <c r="U28" i="1"/>
  <c r="D89" i="6"/>
  <c r="L89" i="6" s="1"/>
  <c r="D74" i="6"/>
  <c r="L74" i="6" s="1"/>
  <c r="O74" i="6" l="1"/>
  <c r="O73" i="6" s="1"/>
  <c r="L73" i="6"/>
  <c r="N74" i="6"/>
  <c r="M74" i="6"/>
  <c r="M58" i="6"/>
  <c r="N58" i="6"/>
  <c r="L70" i="6"/>
  <c r="O89" i="6"/>
  <c r="O88" i="6" s="1"/>
  <c r="L88" i="6"/>
  <c r="N89" i="6"/>
  <c r="M89" i="6"/>
  <c r="L55" i="6"/>
  <c r="I32" i="1"/>
  <c r="O32" i="1" s="1"/>
  <c r="I33" i="1"/>
  <c r="O33" i="1" s="1"/>
  <c r="U30" i="1"/>
  <c r="U31" i="1"/>
  <c r="N43" i="6"/>
  <c r="M73" i="6" l="1"/>
  <c r="N73" i="6"/>
  <c r="L85" i="6"/>
  <c r="L100" i="6"/>
  <c r="D100" i="6" s="1"/>
  <c r="M88" i="6"/>
  <c r="N88" i="6"/>
  <c r="D55" i="6"/>
  <c r="D70" i="6"/>
  <c r="O35" i="1"/>
  <c r="Q33" i="1"/>
  <c r="R33" i="1" s="1"/>
  <c r="S33" i="1" s="1"/>
  <c r="L33" i="1"/>
  <c r="L32" i="1"/>
  <c r="L35" i="1" l="1"/>
  <c r="D85" i="6"/>
  <c r="Q32" i="1"/>
  <c r="R32" i="1" s="1"/>
  <c r="T33" i="1" l="1"/>
  <c r="V33" i="1" s="1"/>
  <c r="S32" i="1"/>
  <c r="T32" i="1" s="1"/>
  <c r="L29" i="6"/>
  <c r="U27" i="1"/>
  <c r="V32" i="1" l="1"/>
  <c r="M29" i="6"/>
  <c r="L165" i="6"/>
  <c r="D165" i="6" s="1"/>
  <c r="U33" i="1"/>
  <c r="D119" i="6"/>
  <c r="L119" i="6" s="1"/>
  <c r="D104" i="6"/>
  <c r="L104" i="6" s="1"/>
  <c r="U32" i="1"/>
  <c r="O29" i="6"/>
  <c r="O28" i="6" s="1"/>
  <c r="L28" i="6"/>
  <c r="N29" i="6"/>
  <c r="O104" i="6" l="1"/>
  <c r="O103" i="6" s="1"/>
  <c r="L103" i="6"/>
  <c r="N104" i="6"/>
  <c r="O119" i="6"/>
  <c r="O118" i="6" s="1"/>
  <c r="L118" i="6"/>
  <c r="N119" i="6"/>
  <c r="M119" i="6"/>
  <c r="M104" i="6"/>
  <c r="L40" i="6"/>
  <c r="N28" i="6"/>
  <c r="M28" i="6"/>
  <c r="O18" i="6"/>
  <c r="O21" i="6"/>
  <c r="O22" i="6"/>
  <c r="O23" i="6"/>
  <c r="M103" i="6" l="1"/>
  <c r="L115" i="6"/>
  <c r="D115" i="6" s="1"/>
  <c r="N103" i="6"/>
  <c r="M118" i="6"/>
  <c r="L130" i="6"/>
  <c r="N118" i="6"/>
  <c r="D40" i="6"/>
  <c r="E151" i="6"/>
  <c r="F151" i="6"/>
  <c r="F16" i="14" s="1"/>
  <c r="F14" i="14" s="1"/>
  <c r="G151" i="6"/>
  <c r="G16" i="14" s="1"/>
  <c r="G14" i="14" s="1"/>
  <c r="H151" i="6"/>
  <c r="H16" i="14" s="1"/>
  <c r="H14" i="14" s="1"/>
  <c r="I151" i="6"/>
  <c r="I16" i="14" s="1"/>
  <c r="I14" i="14" s="1"/>
  <c r="E16" i="14" l="1"/>
  <c r="E14" i="14" s="1"/>
  <c r="D151" i="6"/>
  <c r="D130" i="6"/>
  <c r="J83" i="9"/>
  <c r="H83" i="9"/>
  <c r="G83" i="9"/>
  <c r="F83" i="9"/>
  <c r="E83" i="9"/>
  <c r="D83" i="9"/>
  <c r="C83" i="9"/>
  <c r="E15" i="14" l="1"/>
  <c r="F15" i="14" s="1"/>
  <c r="G15" i="14" s="1"/>
  <c r="H15" i="14" s="1"/>
  <c r="I15" i="14" s="1"/>
  <c r="J15" i="14" s="1"/>
  <c r="K15" i="14" s="1"/>
  <c r="K35" i="10"/>
  <c r="K47" i="10"/>
  <c r="K49" i="10"/>
  <c r="J118" i="9"/>
  <c r="H118" i="9"/>
  <c r="G118" i="9"/>
  <c r="F118" i="9"/>
  <c r="E118" i="9"/>
  <c r="D118" i="9"/>
  <c r="C118" i="9"/>
  <c r="J116" i="9"/>
  <c r="J114" i="9" s="1"/>
  <c r="H116" i="9"/>
  <c r="H114" i="9" s="1"/>
  <c r="G116" i="9"/>
  <c r="G114" i="9" s="1"/>
  <c r="F116" i="9"/>
  <c r="F114" i="9" s="1"/>
  <c r="E116" i="9"/>
  <c r="E114" i="9" s="1"/>
  <c r="D116" i="9"/>
  <c r="D114" i="9" s="1"/>
  <c r="C114" i="9"/>
  <c r="J108" i="9"/>
  <c r="H108" i="9"/>
  <c r="G108" i="9"/>
  <c r="F108" i="9"/>
  <c r="E108" i="9"/>
  <c r="D108" i="9"/>
  <c r="C108" i="9"/>
  <c r="J106" i="9"/>
  <c r="J104" i="9" s="1"/>
  <c r="H106" i="9"/>
  <c r="H104" i="9" s="1"/>
  <c r="G106" i="9"/>
  <c r="G104" i="9" s="1"/>
  <c r="F106" i="9"/>
  <c r="F104" i="9" s="1"/>
  <c r="E106" i="9"/>
  <c r="E104" i="9" s="1"/>
  <c r="D106" i="9"/>
  <c r="D104" i="9" s="1"/>
  <c r="C104" i="9"/>
  <c r="J99" i="9"/>
  <c r="J98" i="9" s="1"/>
  <c r="H99" i="9"/>
  <c r="G99" i="9"/>
  <c r="G98" i="9" s="1"/>
  <c r="F99" i="9"/>
  <c r="F98" i="9" s="1"/>
  <c r="E99" i="9"/>
  <c r="E98" i="9" s="1"/>
  <c r="D99" i="9"/>
  <c r="D98" i="9" s="1"/>
  <c r="H98" i="9"/>
  <c r="C98" i="9"/>
  <c r="J93" i="9"/>
  <c r="H93" i="9"/>
  <c r="G93" i="9"/>
  <c r="F93" i="9"/>
  <c r="E93" i="9"/>
  <c r="D93" i="9"/>
  <c r="C93" i="9"/>
  <c r="J88" i="9"/>
  <c r="H88" i="9"/>
  <c r="G88" i="9"/>
  <c r="F88" i="9"/>
  <c r="E88" i="9"/>
  <c r="D88" i="9"/>
  <c r="C88" i="9"/>
  <c r="J73" i="9"/>
  <c r="H73" i="9"/>
  <c r="G73" i="9"/>
  <c r="F73" i="9"/>
  <c r="E73" i="9"/>
  <c r="D73" i="9"/>
  <c r="C73" i="9"/>
  <c r="J56" i="9"/>
  <c r="J19" i="10" s="1"/>
  <c r="H56" i="9"/>
  <c r="H19" i="10" s="1"/>
  <c r="G56" i="9"/>
  <c r="G19" i="10" s="1"/>
  <c r="F56" i="9"/>
  <c r="F19" i="10" s="1"/>
  <c r="E56" i="9"/>
  <c r="E19" i="10" s="1"/>
  <c r="D56" i="9"/>
  <c r="D19" i="10" s="1"/>
  <c r="C56" i="9"/>
  <c r="C19" i="10" s="1"/>
  <c r="J55" i="9"/>
  <c r="H55" i="9"/>
  <c r="H9" i="10" s="1"/>
  <c r="G55" i="9"/>
  <c r="G9" i="10" s="1"/>
  <c r="J5" i="13" s="1"/>
  <c r="F55" i="9"/>
  <c r="F9" i="10" s="1"/>
  <c r="E55" i="9"/>
  <c r="E9" i="10" s="1"/>
  <c r="H5" i="13" s="1"/>
  <c r="D55" i="9"/>
  <c r="D9" i="10" s="1"/>
  <c r="C55" i="9"/>
  <c r="C42" i="9"/>
  <c r="C41" i="9"/>
  <c r="K39" i="9"/>
  <c r="I38" i="9"/>
  <c r="H38" i="9"/>
  <c r="G38" i="9"/>
  <c r="F38" i="9"/>
  <c r="E38" i="9"/>
  <c r="D38" i="9"/>
  <c r="K37" i="9"/>
  <c r="K36" i="9"/>
  <c r="D35" i="9"/>
  <c r="E35" i="9" s="1"/>
  <c r="E42" i="9" s="1"/>
  <c r="K25" i="9"/>
  <c r="K23" i="9"/>
  <c r="C21" i="9"/>
  <c r="I20" i="9"/>
  <c r="K20" i="9" s="1"/>
  <c r="D19" i="9"/>
  <c r="D21" i="9" s="1"/>
  <c r="D26" i="9" s="1"/>
  <c r="K18" i="9"/>
  <c r="C15" i="9"/>
  <c r="C29" i="9" s="1"/>
  <c r="K14" i="9"/>
  <c r="K13" i="9"/>
  <c r="D12" i="9"/>
  <c r="K19" i="10" l="1"/>
  <c r="Q24" i="10"/>
  <c r="Q23" i="10"/>
  <c r="Q27" i="10"/>
  <c r="Q25" i="10"/>
  <c r="Q26" i="10"/>
  <c r="R25" i="10"/>
  <c r="R26" i="10"/>
  <c r="R24" i="10"/>
  <c r="R23" i="10"/>
  <c r="R27" i="10"/>
  <c r="R14" i="10"/>
  <c r="R18" i="10"/>
  <c r="R13" i="10"/>
  <c r="R17" i="10"/>
  <c r="E58" i="10"/>
  <c r="G58" i="10"/>
  <c r="J58" i="10"/>
  <c r="H58" i="10"/>
  <c r="D58" i="10"/>
  <c r="C58" i="10"/>
  <c r="F58" i="10"/>
  <c r="K33" i="10"/>
  <c r="K37" i="10"/>
  <c r="K39" i="10"/>
  <c r="K36" i="10"/>
  <c r="C113" i="9"/>
  <c r="C102" i="9" s="1"/>
  <c r="E113" i="9"/>
  <c r="E102" i="9" s="1"/>
  <c r="K12" i="10"/>
  <c r="K29" i="10"/>
  <c r="C57" i="10"/>
  <c r="K22" i="10"/>
  <c r="C43" i="9"/>
  <c r="C57" i="9"/>
  <c r="H113" i="9"/>
  <c r="H102" i="9" s="1"/>
  <c r="D41" i="9"/>
  <c r="J113" i="9"/>
  <c r="J102" i="9" s="1"/>
  <c r="D42" i="9"/>
  <c r="G57" i="9"/>
  <c r="D57" i="9"/>
  <c r="H57" i="9"/>
  <c r="F113" i="9"/>
  <c r="F102" i="9" s="1"/>
  <c r="E19" i="9"/>
  <c r="K38" i="9"/>
  <c r="E57" i="9"/>
  <c r="J57" i="9"/>
  <c r="G113" i="9"/>
  <c r="G102" i="9" s="1"/>
  <c r="D113" i="9"/>
  <c r="D102" i="9" s="1"/>
  <c r="C26" i="9"/>
  <c r="F57" i="9"/>
  <c r="E41" i="9"/>
  <c r="D15" i="9"/>
  <c r="D29" i="9" s="1"/>
  <c r="E12" i="9"/>
  <c r="F35" i="9"/>
  <c r="C56" i="10" l="1"/>
  <c r="C28" i="10"/>
  <c r="Q13" i="10"/>
  <c r="Q17" i="10"/>
  <c r="Q14" i="10"/>
  <c r="Q18" i="10"/>
  <c r="Q10" i="10"/>
  <c r="Q11" i="10"/>
  <c r="Q12" i="10"/>
  <c r="K38" i="10"/>
  <c r="Q20" i="10"/>
  <c r="R20" i="10"/>
  <c r="Q22" i="10"/>
  <c r="Q21" i="10"/>
  <c r="D43" i="9"/>
  <c r="E21" i="9"/>
  <c r="E26" i="9" s="1"/>
  <c r="F19" i="9"/>
  <c r="F12" i="9"/>
  <c r="E15" i="9"/>
  <c r="C28" i="9"/>
  <c r="D28" i="9"/>
  <c r="F42" i="9"/>
  <c r="F41" i="9"/>
  <c r="G35" i="9"/>
  <c r="E43" i="9"/>
  <c r="C31" i="10" l="1"/>
  <c r="Q19" i="10"/>
  <c r="Q9" i="10"/>
  <c r="R21" i="10"/>
  <c r="D28" i="10"/>
  <c r="D31" i="10" s="1"/>
  <c r="D57" i="10"/>
  <c r="R22" i="10"/>
  <c r="E28" i="9"/>
  <c r="E29" i="9"/>
  <c r="F21" i="9"/>
  <c r="F26" i="9" s="1"/>
  <c r="G19" i="9"/>
  <c r="D30" i="9"/>
  <c r="F43" i="9"/>
  <c r="F15" i="9"/>
  <c r="G12" i="9"/>
  <c r="C30" i="9"/>
  <c r="G42" i="9"/>
  <c r="G41" i="9"/>
  <c r="H35" i="9"/>
  <c r="R19" i="10" l="1"/>
  <c r="D56" i="10"/>
  <c r="R12" i="10"/>
  <c r="R11" i="10"/>
  <c r="E56" i="10"/>
  <c r="R10" i="10"/>
  <c r="E28" i="10"/>
  <c r="E31" i="10" s="1"/>
  <c r="E30" i="9"/>
  <c r="G21" i="9"/>
  <c r="G26" i="9" s="1"/>
  <c r="H19" i="9"/>
  <c r="G43" i="9"/>
  <c r="G15" i="9"/>
  <c r="H12" i="9"/>
  <c r="F28" i="9"/>
  <c r="I35" i="9"/>
  <c r="J35" i="9" s="1"/>
  <c r="H41" i="9"/>
  <c r="H42" i="9"/>
  <c r="F29" i="9"/>
  <c r="F57" i="10" s="1"/>
  <c r="J42" i="9" l="1"/>
  <c r="J41" i="9"/>
  <c r="J43" i="9" s="1"/>
  <c r="R9" i="10"/>
  <c r="F28" i="10"/>
  <c r="F31" i="10" s="1"/>
  <c r="F56" i="10"/>
  <c r="E57" i="10"/>
  <c r="G28" i="9"/>
  <c r="I19" i="9"/>
  <c r="H21" i="9"/>
  <c r="G29" i="9"/>
  <c r="G57" i="10" s="1"/>
  <c r="H43" i="9"/>
  <c r="I41" i="9"/>
  <c r="I42" i="9"/>
  <c r="K35" i="9"/>
  <c r="F30" i="9"/>
  <c r="H15" i="9"/>
  <c r="I12" i="9"/>
  <c r="I21" i="9" l="1"/>
  <c r="I26" i="9" s="1"/>
  <c r="J19" i="9"/>
  <c r="J21" i="9" s="1"/>
  <c r="J26" i="9" s="1"/>
  <c r="J12" i="9"/>
  <c r="I15" i="9"/>
  <c r="G28" i="10"/>
  <c r="K19" i="9"/>
  <c r="G56" i="10"/>
  <c r="H26" i="9"/>
  <c r="K21" i="9"/>
  <c r="I29" i="9"/>
  <c r="K12" i="9"/>
  <c r="I43" i="9"/>
  <c r="K43" i="9" s="1"/>
  <c r="K41" i="9"/>
  <c r="K11" i="10" s="1"/>
  <c r="K42" i="9"/>
  <c r="H29" i="9"/>
  <c r="H57" i="10" s="1"/>
  <c r="G30" i="9"/>
  <c r="K26" i="9" l="1"/>
  <c r="J29" i="9"/>
  <c r="J15" i="9"/>
  <c r="J28" i="9" s="1"/>
  <c r="J30" i="9" s="1"/>
  <c r="G31" i="10"/>
  <c r="K21" i="10"/>
  <c r="H28" i="9"/>
  <c r="I28" i="9"/>
  <c r="K15" i="9"/>
  <c r="K29" i="9"/>
  <c r="S12" i="10" l="1"/>
  <c r="S11" i="10"/>
  <c r="I57" i="10"/>
  <c r="K20" i="10"/>
  <c r="I28" i="10"/>
  <c r="I31" i="10" s="1"/>
  <c r="I56" i="10"/>
  <c r="H30" i="9"/>
  <c r="H28" i="10"/>
  <c r="J57" i="10"/>
  <c r="I30" i="9"/>
  <c r="K28" i="9"/>
  <c r="J28" i="10" s="1"/>
  <c r="J31" i="10" s="1"/>
  <c r="S9" i="10" l="1"/>
  <c r="H31" i="10"/>
  <c r="K31" i="10" s="1"/>
  <c r="K28" i="10"/>
  <c r="K30" i="9"/>
  <c r="H56" i="10"/>
  <c r="K9" i="10"/>
  <c r="J56" i="10"/>
  <c r="D124" i="9" l="1"/>
  <c r="D122" i="9" s="1"/>
  <c r="D80" i="9"/>
  <c r="D78" i="9" s="1"/>
  <c r="C124" i="9" l="1"/>
  <c r="C122" i="9" s="1"/>
  <c r="C80" i="9"/>
  <c r="C78" i="9" s="1"/>
  <c r="C59" i="10" l="1"/>
  <c r="Q33" i="10"/>
  <c r="C43" i="10"/>
  <c r="G7" i="13" l="1"/>
  <c r="E10" i="14"/>
  <c r="E25" i="14" s="1"/>
  <c r="C60" i="10"/>
  <c r="C45" i="10"/>
  <c r="E8" i="14" l="1"/>
  <c r="E168" i="6" s="1"/>
  <c r="C50" i="10"/>
  <c r="E19" i="14" l="1"/>
  <c r="E9" i="14"/>
  <c r="E26" i="14"/>
  <c r="E27" i="14" s="1"/>
  <c r="C52" i="10"/>
  <c r="C53" i="10" l="1"/>
  <c r="E124" i="9"/>
  <c r="E122" i="9" s="1"/>
  <c r="E80" i="9"/>
  <c r="E78" i="9" s="1"/>
  <c r="E32" i="10" l="1"/>
  <c r="F80" i="9"/>
  <c r="F78" i="9" s="1"/>
  <c r="F124" i="9"/>
  <c r="F122" i="9" s="1"/>
  <c r="E59" i="10" l="1"/>
  <c r="E43" i="10"/>
  <c r="F32" i="10"/>
  <c r="G124" i="9"/>
  <c r="G122" i="9" s="1"/>
  <c r="G80" i="9"/>
  <c r="G78" i="9" s="1"/>
  <c r="H7" i="13" l="1"/>
  <c r="G10" i="14"/>
  <c r="G25" i="14" s="1"/>
  <c r="F59" i="10"/>
  <c r="F43" i="10"/>
  <c r="H10" i="14" s="1"/>
  <c r="H25" i="14" s="1"/>
  <c r="G32" i="10"/>
  <c r="H124" i="9"/>
  <c r="H122" i="9" s="1"/>
  <c r="H80" i="9"/>
  <c r="H78" i="9" s="1"/>
  <c r="J124" i="9"/>
  <c r="J122" i="9" s="1"/>
  <c r="J80" i="9"/>
  <c r="J78" i="9" s="1"/>
  <c r="H8" i="14" l="1"/>
  <c r="H168" i="6" s="1"/>
  <c r="G8" i="14"/>
  <c r="G168" i="6" s="1"/>
  <c r="G59" i="10"/>
  <c r="G43" i="10"/>
  <c r="H32" i="10"/>
  <c r="G19" i="14" l="1"/>
  <c r="G26" i="14"/>
  <c r="J7" i="13"/>
  <c r="I10" i="14"/>
  <c r="I25" i="14" s="1"/>
  <c r="H19" i="14"/>
  <c r="H26" i="14"/>
  <c r="H59" i="10"/>
  <c r="H43" i="10"/>
  <c r="J10" i="14" s="1"/>
  <c r="J25" i="14" s="1"/>
  <c r="I32" i="10"/>
  <c r="K44" i="10"/>
  <c r="J8" i="14" l="1"/>
  <c r="J168" i="6" s="1"/>
  <c r="I8" i="14"/>
  <c r="I168" i="6" s="1"/>
  <c r="I59" i="10"/>
  <c r="I43" i="10"/>
  <c r="I19" i="14" l="1"/>
  <c r="I26" i="14"/>
  <c r="L7" i="13"/>
  <c r="K10" i="14"/>
  <c r="K25" i="14" s="1"/>
  <c r="J19" i="14"/>
  <c r="J26" i="14"/>
  <c r="I45" i="10"/>
  <c r="K8" i="14" l="1"/>
  <c r="L8" i="13" l="1"/>
  <c r="K168" i="6"/>
  <c r="K19" i="14"/>
  <c r="K26" i="14"/>
  <c r="I50" i="10"/>
  <c r="I60" i="10" l="1"/>
  <c r="O15" i="6"/>
  <c r="O13" i="6" s="1"/>
  <c r="I52" i="10" l="1"/>
  <c r="Q36" i="10" l="1"/>
  <c r="Q38" i="10"/>
  <c r="Q39" i="10"/>
  <c r="Q37" i="10"/>
  <c r="Q35" i="10"/>
  <c r="Q34" i="10"/>
  <c r="Q32" i="10" l="1"/>
  <c r="G8" i="13" l="1"/>
  <c r="G45" i="10"/>
  <c r="G50" i="10" s="1"/>
  <c r="F45" i="10"/>
  <c r="F50" i="10" s="1"/>
  <c r="H45" i="10" l="1"/>
  <c r="E45" i="10"/>
  <c r="F60" i="10"/>
  <c r="G60" i="10"/>
  <c r="J8" i="13" l="1"/>
  <c r="H8" i="13"/>
  <c r="E50" i="10"/>
  <c r="H60" i="10"/>
  <c r="H50" i="10"/>
  <c r="H52" i="10" s="1"/>
  <c r="F52" i="10"/>
  <c r="E60" i="10"/>
  <c r="G52" i="10"/>
  <c r="K51" i="10"/>
  <c r="E52" i="10" l="1"/>
  <c r="S35" i="1" l="1"/>
  <c r="T26" i="1"/>
  <c r="U26" i="1" l="1"/>
  <c r="M14" i="6"/>
  <c r="V26" i="1"/>
  <c r="T35" i="1"/>
  <c r="U35" i="1" s="1"/>
  <c r="D14" i="6"/>
  <c r="L167" i="6"/>
  <c r="N14" i="6"/>
  <c r="L13" i="6"/>
  <c r="L22" i="14" l="1"/>
  <c r="L20" i="14" s="1"/>
  <c r="L21" i="14" s="1"/>
  <c r="D167" i="6"/>
  <c r="L170" i="6"/>
  <c r="D170" i="6" s="1"/>
  <c r="L17" i="14"/>
  <c r="L14" i="14" s="1"/>
  <c r="L15" i="14" s="1"/>
  <c r="N13" i="6"/>
  <c r="L25" i="6"/>
  <c r="L172" i="6" s="1"/>
  <c r="D172" i="6" s="1"/>
  <c r="V35" i="1"/>
  <c r="D34" i="10" l="1"/>
  <c r="J34" i="10"/>
  <c r="D25" i="6"/>
  <c r="K46" i="10"/>
  <c r="J32" i="10" l="1"/>
  <c r="S34" i="10" s="1"/>
  <c r="D32" i="10"/>
  <c r="K34" i="10"/>
  <c r="D59" i="10" l="1"/>
  <c r="D60" i="10" s="1"/>
  <c r="D43" i="10"/>
  <c r="F10" i="14" s="1"/>
  <c r="F25" i="14" s="1"/>
  <c r="K32" i="10"/>
  <c r="R35" i="10"/>
  <c r="R36" i="10"/>
  <c r="R39" i="10"/>
  <c r="R38" i="10"/>
  <c r="R33" i="10"/>
  <c r="R37" i="10"/>
  <c r="R34" i="10"/>
  <c r="J59" i="10"/>
  <c r="J60" i="10" s="1"/>
  <c r="J43" i="10"/>
  <c r="L10" i="14" s="1"/>
  <c r="L25" i="14" s="1"/>
  <c r="S39" i="10"/>
  <c r="S38" i="10"/>
  <c r="S37" i="10"/>
  <c r="S36" i="10"/>
  <c r="S35" i="10"/>
  <c r="S33" i="10"/>
  <c r="F8" i="14" l="1"/>
  <c r="F168" i="6" s="1"/>
  <c r="L8" i="14"/>
  <c r="L168" i="6" s="1"/>
  <c r="S32" i="10"/>
  <c r="J45" i="10"/>
  <c r="J50" i="10" s="1"/>
  <c r="J52" i="10" s="1"/>
  <c r="R32" i="10"/>
  <c r="D45" i="10"/>
  <c r="K43" i="10"/>
  <c r="L19" i="14" l="1"/>
  <c r="L26" i="14"/>
  <c r="F19" i="14"/>
  <c r="F9" i="14"/>
  <c r="G9" i="14" s="1"/>
  <c r="H9" i="14" s="1"/>
  <c r="I9" i="14" s="1"/>
  <c r="J9" i="14" s="1"/>
  <c r="K9" i="14" s="1"/>
  <c r="F26" i="14"/>
  <c r="F27" i="14" s="1"/>
  <c r="G27" i="14" s="1"/>
  <c r="H27" i="14" s="1"/>
  <c r="I27" i="14" s="1"/>
  <c r="J27" i="14" s="1"/>
  <c r="K27" i="14" s="1"/>
  <c r="D50" i="10"/>
  <c r="K45" i="10"/>
  <c r="L27" i="14" l="1"/>
  <c r="L9" i="14"/>
  <c r="D52" i="10"/>
  <c r="K50" i="10"/>
  <c r="D53" i="10" l="1"/>
  <c r="E53" i="10" s="1"/>
  <c r="F53" i="10" s="1"/>
  <c r="G53" i="10" s="1"/>
  <c r="H53" i="10" s="1"/>
  <c r="K52" i="10"/>
  <c r="I53" i="10" l="1"/>
  <c r="J53" i="10"/>
</calcChain>
</file>

<file path=xl/comments1.xml><?xml version="1.0" encoding="utf-8"?>
<comments xmlns="http://schemas.openxmlformats.org/spreadsheetml/2006/main">
  <authors>
    <author>Beerli Anna BLW</author>
  </authors>
  <commentList>
    <comment ref="B14" authorId="0" shapeId="0">
      <text>
        <r>
          <rPr>
            <sz val="14"/>
            <color indexed="81"/>
            <rFont val="Segoe UI"/>
            <family val="2"/>
          </rPr>
          <t>Il 20% dei contributi sarà trasferito solo dopo la presentazione della relazione finale</t>
        </r>
      </text>
    </comment>
    <comment ref="B29" authorId="0" shapeId="0">
      <text>
        <r>
          <rPr>
            <sz val="14"/>
            <color indexed="81"/>
            <rFont val="Segoe UI"/>
            <family val="2"/>
          </rPr>
          <t>Il 20% dei contributi sarà trasferito solo dopo la presentazione della relazione finale</t>
        </r>
      </text>
    </comment>
    <comment ref="B44" authorId="0" shapeId="0">
      <text>
        <r>
          <rPr>
            <sz val="14"/>
            <color indexed="81"/>
            <rFont val="Segoe UI"/>
            <family val="2"/>
          </rPr>
          <t>Il 20% dei contributi sarà trasferito solo dopo la presentazione della relazione finale</t>
        </r>
      </text>
    </comment>
    <comment ref="B59" authorId="0" shapeId="0">
      <text>
        <r>
          <rPr>
            <sz val="14"/>
            <color indexed="81"/>
            <rFont val="Segoe UI"/>
            <family val="2"/>
          </rPr>
          <t>Il 20% dei contributi sarà trasferito solo dopo la presentazione della relazione finale</t>
        </r>
      </text>
    </comment>
    <comment ref="B74" authorId="0" shapeId="0">
      <text>
        <r>
          <rPr>
            <sz val="14"/>
            <color indexed="81"/>
            <rFont val="Segoe UI"/>
            <family val="2"/>
          </rPr>
          <t>Il 20% dei contributi sarà trasferito solo dopo la presentazione della relazione finale</t>
        </r>
      </text>
    </comment>
    <comment ref="B89" authorId="0" shapeId="0">
      <text>
        <r>
          <rPr>
            <sz val="14"/>
            <color indexed="81"/>
            <rFont val="Segoe UI"/>
            <family val="2"/>
          </rPr>
          <t>Il 20% dei contributi sarà trasferito solo dopo la presentazione della relazione finale</t>
        </r>
      </text>
    </comment>
    <comment ref="B104" authorId="0" shapeId="0">
      <text>
        <r>
          <rPr>
            <sz val="14"/>
            <color indexed="81"/>
            <rFont val="Segoe UI"/>
            <family val="2"/>
          </rPr>
          <t>Il 20% dei contributi sarà trasferito solo dopo la presentazione della relazione finale</t>
        </r>
      </text>
    </comment>
    <comment ref="B119" authorId="0" shapeId="0">
      <text>
        <r>
          <rPr>
            <sz val="14"/>
            <color indexed="81"/>
            <rFont val="Segoe UI"/>
            <family val="2"/>
          </rPr>
          <t>Il 20% dei contributi sarà trasferito solo dopo la presentazione della relazione finale</t>
        </r>
      </text>
    </comment>
    <comment ref="B134" authorId="0" shapeId="0">
      <text>
        <r>
          <rPr>
            <sz val="14"/>
            <color indexed="81"/>
            <rFont val="Segoe UI"/>
            <family val="2"/>
          </rPr>
          <t>Il 20% dei contributi sarà trasferito solo dopo la presentazione della relazione finale</t>
        </r>
      </text>
    </comment>
  </commentList>
</comments>
</file>

<file path=xl/comments2.xml><?xml version="1.0" encoding="utf-8"?>
<comments xmlns="http://schemas.openxmlformats.org/spreadsheetml/2006/main">
  <authors>
    <author>Beerli Anna BLW</author>
  </authors>
  <commentList>
    <comment ref="E5" authorId="0" shapeId="0">
      <text>
        <r>
          <rPr>
            <sz val="18"/>
            <color indexed="81"/>
            <rFont val="Segoe UI"/>
            <family val="2"/>
          </rPr>
          <t>non in % in quanto non può essere letto dal tool di analisi UFAG</t>
        </r>
      </text>
    </comment>
  </commentList>
</comments>
</file>

<file path=xl/comments3.xml><?xml version="1.0" encoding="utf-8"?>
<comments xmlns="http://schemas.openxmlformats.org/spreadsheetml/2006/main">
  <authors>
    <author>Beerli Anna BLW</author>
  </authors>
  <commentList>
    <comment ref="A28" authorId="0" shapeId="0">
      <text>
        <r>
          <rPr>
            <b/>
            <sz val="9"/>
            <color indexed="81"/>
            <rFont val="Segoe UI"/>
            <family val="2"/>
          </rPr>
          <t>Beerli Anna BLW:</t>
        </r>
        <r>
          <rPr>
            <sz val="9"/>
            <color indexed="81"/>
            <rFont val="Segoe UI"/>
            <family val="2"/>
          </rPr>
          <t xml:space="preserve">
= Verkaufsmenge * Verkaufspreis</t>
        </r>
      </text>
    </comment>
    <comment ref="A29"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41" authorId="0" shapeId="0">
      <text>
        <r>
          <rPr>
            <b/>
            <sz val="9"/>
            <color indexed="81"/>
            <rFont val="Segoe UI"/>
            <family val="2"/>
          </rPr>
          <t>Beerli Anna BLW:</t>
        </r>
        <r>
          <rPr>
            <sz val="9"/>
            <color indexed="81"/>
            <rFont val="Segoe UI"/>
            <family val="2"/>
          </rPr>
          <t xml:space="preserve">
= Verkaufsmenge * Verkaufspreis</t>
        </r>
      </text>
    </comment>
    <comment ref="A42"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55" authorId="0" shapeId="0">
      <text>
        <r>
          <rPr>
            <b/>
            <sz val="9"/>
            <color indexed="81"/>
            <rFont val="Segoe UI"/>
            <family val="2"/>
          </rPr>
          <t>Beerli Anna BLW:</t>
        </r>
        <r>
          <rPr>
            <sz val="9"/>
            <color indexed="81"/>
            <rFont val="Segoe UI"/>
            <family val="2"/>
          </rPr>
          <t xml:space="preserve">
= Verkaufsmenge * Verkaufspreis</t>
        </r>
      </text>
    </comment>
    <comment ref="A56"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List>
</comments>
</file>

<file path=xl/comments4.xml><?xml version="1.0" encoding="utf-8"?>
<comments xmlns="http://schemas.openxmlformats.org/spreadsheetml/2006/main">
  <authors>
    <author>Beerli Anna BLW</author>
  </authors>
  <commentList>
    <comment ref="B14"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<sst xmlns="http://schemas.openxmlformats.org/spreadsheetml/2006/main" count="719" uniqueCount="387">
  <si>
    <t>…</t>
  </si>
  <si>
    <t>n+2</t>
  </si>
  <si>
    <t>n+3</t>
  </si>
  <si>
    <t>n+4</t>
  </si>
  <si>
    <t>n+5</t>
  </si>
  <si>
    <t>n+6</t>
  </si>
  <si>
    <t>%</t>
  </si>
  <si>
    <t>CHF</t>
  </si>
  <si>
    <t>[ 1 ]</t>
  </si>
  <si>
    <t>REFLEX Agridea</t>
  </si>
  <si>
    <t>umfassend</t>
  </si>
  <si>
    <t>einzel</t>
  </si>
  <si>
    <t>gemeinschaftlich</t>
  </si>
  <si>
    <t>MEL</t>
  </si>
  <si>
    <t>E) Controlling- &amp; Monitoring</t>
  </si>
  <si>
    <t>Data</t>
  </si>
  <si>
    <t>Nome del sottoprogetto (SP)</t>
  </si>
  <si>
    <t>Tipo di PSR</t>
  </si>
  <si>
    <t xml:space="preserve">Oreintamento </t>
  </si>
  <si>
    <t xml:space="preserve">Tipo di progetto </t>
  </si>
  <si>
    <t>Istruzioni</t>
  </si>
  <si>
    <t>Unità analizzata della pianificazione finanziaria</t>
  </si>
  <si>
    <t>Investimento</t>
  </si>
  <si>
    <t>Investimento 2</t>
  </si>
  <si>
    <t>Investimento 3</t>
  </si>
  <si>
    <t>Investimento 4</t>
  </si>
  <si>
    <t>Investimento 5</t>
  </si>
  <si>
    <t>Investimento 6</t>
  </si>
  <si>
    <t>Investimento 7</t>
  </si>
  <si>
    <t>Investimento 8</t>
  </si>
  <si>
    <t>Totale</t>
  </si>
  <si>
    <t>n = anno precedente</t>
  </si>
  <si>
    <t>compilare solo i campi in giallo</t>
  </si>
  <si>
    <t>L'ente promotore esisteva già prima del PSR?</t>
  </si>
  <si>
    <t>se il carattere è troppo piccolo: cambiare in visualizzazione pagina 100% (in basso a destra nella parte grigia dell'Excel)</t>
  </si>
  <si>
    <t>celle con selezione da menu a tendina</t>
  </si>
  <si>
    <t>2. Ipotesi</t>
  </si>
  <si>
    <t>3. Compilare il conto economico</t>
  </si>
  <si>
    <t>Misura</t>
  </si>
  <si>
    <t>Misure n.</t>
  </si>
  <si>
    <t>Totale costi d'investimento</t>
  </si>
  <si>
    <t>Capitale proprio</t>
  </si>
  <si>
    <t>Deduzione delle ipotesi per il conto economico e l'andamento degli affari</t>
  </si>
  <si>
    <t>Riportare le cifre delle ipotesi nel conto economico</t>
  </si>
  <si>
    <t>Pianificazione finanziaria: panoramica della tappa di acquisizione delle basi (TAB) del sottoprogetto</t>
  </si>
  <si>
    <t>Costi che non danno diritto ai contributi</t>
  </si>
  <si>
    <t>Costi che danno diritto ai contributi</t>
  </si>
  <si>
    <t>Riduzione dei costi che danno diritto ai contributi</t>
  </si>
  <si>
    <t>Costi determinanti che danno diritto ai contributi</t>
  </si>
  <si>
    <t xml:space="preserve">Aliquota di contribuzione Cantone  
</t>
  </si>
  <si>
    <t>Aliquota di contribuzione Confederazione definitiva</t>
  </si>
  <si>
    <t>Contributo federale</t>
  </si>
  <si>
    <t>Contributo cantonale</t>
  </si>
  <si>
    <t>Totale contributi pubblici</t>
  </si>
  <si>
    <t>Totale finanziamento residuo</t>
  </si>
  <si>
    <t>Indicatore</t>
  </si>
  <si>
    <t xml:space="preserve">Unità di misura </t>
  </si>
  <si>
    <t>n+2 -ideale</t>
  </si>
  <si>
    <t>n+2 -effettivo</t>
  </si>
  <si>
    <t>n+4 -ideale</t>
  </si>
  <si>
    <t>n+4 -effettivo</t>
  </si>
  <si>
    <t>n+6 -ideale</t>
  </si>
  <si>
    <t>n+6-effettivo</t>
  </si>
  <si>
    <t>post3j -ideale</t>
  </si>
  <si>
    <t>post3j -effettivo</t>
  </si>
  <si>
    <t>post6j -ideale</t>
  </si>
  <si>
    <t>post6j -effettivo</t>
  </si>
  <si>
    <t>Risultato netto annuo</t>
  </si>
  <si>
    <t>Fattore d'indebitamento</t>
  </si>
  <si>
    <t>Percentuale d'impiego</t>
  </si>
  <si>
    <t>Prodotto 3</t>
  </si>
  <si>
    <t>Unità</t>
  </si>
  <si>
    <t>Prodotto 2</t>
  </si>
  <si>
    <t>Prodotto 1</t>
  </si>
  <si>
    <t>n+1 
(1° anno PSR)</t>
  </si>
  <si>
    <t>1° anno dopo l'attuazione</t>
  </si>
  <si>
    <t>Compilare SOLO i campi in giallo</t>
  </si>
  <si>
    <t>Pianificazione finanziaria: conto economico</t>
  </si>
  <si>
    <t>Panoramica del piano del conto economico [CHF]</t>
  </si>
  <si>
    <t xml:space="preserve">...altre entrate </t>
  </si>
  <si>
    <t>Tasse</t>
  </si>
  <si>
    <t>Analisi della sensibilità</t>
  </si>
  <si>
    <t xml:space="preserve">Contributo di copertura </t>
  </si>
  <si>
    <t>% dell'azienda totale</t>
  </si>
  <si>
    <t>Contributo di copertura per spese per il personale</t>
  </si>
  <si>
    <t>Spese non direttamente attribuibili</t>
  </si>
  <si>
    <t>Pigioni / fitti / costi immobiliari</t>
  </si>
  <si>
    <t>Spese per veicoli e trasporto</t>
  </si>
  <si>
    <t>Assicurazioni di cose</t>
  </si>
  <si>
    <t>Spese per elettricità, energia e smaltimento</t>
  </si>
  <si>
    <t>Spese per amministrazione e promozione</t>
  </si>
  <si>
    <t>Altre spese aziendali</t>
  </si>
  <si>
    <t>Ammortamenti</t>
  </si>
  <si>
    <t>Ricavo finanziaro</t>
  </si>
  <si>
    <t>Spese straordinarie</t>
  </si>
  <si>
    <t>Ricavo straordinario</t>
  </si>
  <si>
    <t>Risultato netto cumulativo</t>
  </si>
  <si>
    <t>Inserire valore per "x" con segno</t>
  </si>
  <si>
    <t>Variazione delle spese dirette annue del x%</t>
  </si>
  <si>
    <t>Variazione dei costi per il personale annui</t>
  </si>
  <si>
    <t>Variazione dei costi non attribuibili del x%</t>
  </si>
  <si>
    <t>Compilare SOLO i campi gialli</t>
  </si>
  <si>
    <t>celle con menu a tendina</t>
  </si>
  <si>
    <t>Panoramica della pianificazione della liquidità (Cashflow)</t>
  </si>
  <si>
    <t>% dell'investimento</t>
  </si>
  <si>
    <t>Somma di investimento</t>
  </si>
  <si>
    <t>Fonte di finanziamento</t>
  </si>
  <si>
    <t>Investimento 1</t>
  </si>
  <si>
    <t xml:space="preserve">Totale investimenti </t>
  </si>
  <si>
    <t>Totale ammortamenti</t>
  </si>
  <si>
    <t>Totale costi di manutenzione</t>
  </si>
  <si>
    <t>Ammortamento</t>
  </si>
  <si>
    <t>Manutenzione</t>
  </si>
  <si>
    <t>Flussi monetari all'anno</t>
  </si>
  <si>
    <t>Cashflow da attività di investimento</t>
  </si>
  <si>
    <t xml:space="preserve">Cashflow da attività di finanziamento </t>
  </si>
  <si>
    <t xml:space="preserve">Afflusso di capitale per investimenti </t>
  </si>
  <si>
    <t>eventuali correzioni (+ accantonamenti)</t>
  </si>
  <si>
    <t>Variazione dell'inventario (+ in caso di diminuzione - in caso di aumento)</t>
  </si>
  <si>
    <t>Capacità d'investimento da attività operative (%)</t>
  </si>
  <si>
    <t xml:space="preserve">1) Investimenti e fonte di finanziamento </t>
  </si>
  <si>
    <t>2) Disinvestimento (vendita)</t>
  </si>
  <si>
    <t>Disinvestimento</t>
  </si>
  <si>
    <t>Vendita di xy</t>
  </si>
  <si>
    <t>Vendita di yz</t>
  </si>
  <si>
    <t>Tasso d'int. (%)</t>
  </si>
  <si>
    <t>Contributi Confederazione e Cantone</t>
  </si>
  <si>
    <t>Ipoteca</t>
  </si>
  <si>
    <t>Spiegazioni delle ipotesi</t>
  </si>
  <si>
    <t>Percentuale di manutenzione in %:</t>
  </si>
  <si>
    <t>Contributi di terzi a fondo perso</t>
  </si>
  <si>
    <t>n+1 = 1° anno PSR</t>
  </si>
  <si>
    <t>Fonti info</t>
  </si>
  <si>
    <t>Valori indicativi UFAG</t>
  </si>
  <si>
    <t>riportare nel conto economico</t>
  </si>
  <si>
    <t>ca. 15% del salario lordo</t>
  </si>
  <si>
    <t>100% per la pianificazione per l'intera azienda</t>
  </si>
  <si>
    <t>Incremento grazie alla maggiore capacità di trasformazione</t>
  </si>
  <si>
    <t>Rapporto di base Agroscope</t>
  </si>
  <si>
    <t>automaticamente dal "calcolo del flusso monetario"</t>
  </si>
  <si>
    <t>CHF / unità offerta</t>
  </si>
  <si>
    <t>unità offerta (notti/anno)</t>
  </si>
  <si>
    <t>p.es. kg latte</t>
  </si>
  <si>
    <t>p.es. kg formaggio</t>
  </si>
  <si>
    <t>p.es. CHF / kg latte</t>
  </si>
  <si>
    <t>p.es. CHF / kg formaggio</t>
  </si>
  <si>
    <t>CHF / mese</t>
  </si>
  <si>
    <t>% per ramo aziendale</t>
  </si>
  <si>
    <t>CHF / anno</t>
  </si>
  <si>
    <t>CHF/ anno</t>
  </si>
  <si>
    <t>ETP</t>
  </si>
  <si>
    <t>Giorni</t>
  </si>
  <si>
    <t>CHF/giorno</t>
  </si>
  <si>
    <t>p.es. tutta l'azienda o solo il ramo aziendale xy</t>
  </si>
  <si>
    <t>Ricavo e costi attribuibili</t>
  </si>
  <si>
    <t>Quantitativi</t>
  </si>
  <si>
    <t>Volume degli acquisti</t>
  </si>
  <si>
    <t>Variazione annua del volume degli acquisti risp. all'anno precedente</t>
  </si>
  <si>
    <t>Coefficiente di conversione</t>
  </si>
  <si>
    <t>Volume di vendita</t>
  </si>
  <si>
    <t>Costi di produzione nell'agricoltura</t>
  </si>
  <si>
    <t>Prezzo di acquisto SP / unità di acquisto</t>
  </si>
  <si>
    <t>Prezzo di acquisto SP in unità di vendita</t>
  </si>
  <si>
    <t>Prezzo di vendita</t>
  </si>
  <si>
    <t>Ricavi</t>
  </si>
  <si>
    <t>Spese dirette</t>
  </si>
  <si>
    <t>Contributo di copertura prodotto 1</t>
  </si>
  <si>
    <t xml:space="preserve">Prodotto 2 - p.es. offerta agrituristica </t>
  </si>
  <si>
    <t>Offerta 1 p.es. pernottamento</t>
  </si>
  <si>
    <t>Offerta 1 p.es. pernottamenti</t>
  </si>
  <si>
    <t>Incremento annuo</t>
  </si>
  <si>
    <t>Costi variabili per offerta</t>
  </si>
  <si>
    <t>Margine</t>
  </si>
  <si>
    <t>Contributo di copertura prodotto 2</t>
  </si>
  <si>
    <t>Offerta 3 p.es. comunicazione collettiva del PSR (marketing)</t>
  </si>
  <si>
    <t>Costi per comunicazione attraverso i social media</t>
  </si>
  <si>
    <t>Costi non attribuibili</t>
  </si>
  <si>
    <t>Spese per il personale - escl. coordinamento del progetto</t>
  </si>
  <si>
    <t>Persona 1</t>
  </si>
  <si>
    <t>Persona 2</t>
  </si>
  <si>
    <t>Quota di occupazione per ramo aziendale</t>
  </si>
  <si>
    <t>Pigioni / mese per l'intera azienda</t>
  </si>
  <si>
    <t>MRS (manutenzione, riparazioni, sostituzione)</t>
  </si>
  <si>
    <t>Manutenzione e costi di riparazione</t>
  </si>
  <si>
    <t>Costi per sostituzioni</t>
  </si>
  <si>
    <t>Costi / anno per l'intera azienda</t>
  </si>
  <si>
    <t>Spese per amministrazione e informatica</t>
  </si>
  <si>
    <t>Spese per amministrazione</t>
  </si>
  <si>
    <t>Spese / ETP</t>
  </si>
  <si>
    <t>Numero ETP</t>
  </si>
  <si>
    <t>Spese per marketing</t>
  </si>
  <si>
    <t>Importo fisso / mese</t>
  </si>
  <si>
    <t>Contributo membri all'associazione mantello PSR</t>
  </si>
  <si>
    <t>Coordinamento progetto</t>
  </si>
  <si>
    <t>… internamente da parte dell'associazione mantello PSR</t>
  </si>
  <si>
    <t>costi del coordinamento globale</t>
  </si>
  <si>
    <t xml:space="preserve">… da parte di un coach esterno </t>
  </si>
  <si>
    <t>aliquota giornaliera, incl. luogo di lavoro e spese</t>
  </si>
  <si>
    <t xml:space="preserve">Ammortamenti </t>
  </si>
  <si>
    <t>Aliquota dell'imposta</t>
  </si>
  <si>
    <t xml:space="preserve">Investimenti collettivi (hardware) nell'interesse del progetto globale </t>
  </si>
  <si>
    <t>…selezionare misura</t>
  </si>
  <si>
    <t>Altre misure nell'interesse del progetto globale (riduzione min. 50%)</t>
  </si>
  <si>
    <t>Stalle individuali per animali che consumano foraggio grezzo</t>
  </si>
  <si>
    <t>Riduzione dei costi che danno diritto ai contributi in %</t>
  </si>
  <si>
    <t>Bonus PSR</t>
  </si>
  <si>
    <t>Intersettoriale</t>
  </si>
  <si>
    <t>Aliquota di contribuzione Confederazione</t>
  </si>
  <si>
    <t>Partecipazione cantonale al contributo federale</t>
  </si>
  <si>
    <t>selezionare</t>
  </si>
  <si>
    <t>ZC / ZM I</t>
  </si>
  <si>
    <t>Frutta e verdura (F e V)</t>
  </si>
  <si>
    <t>Produzione</t>
  </si>
  <si>
    <t>Trasformazione</t>
  </si>
  <si>
    <t>Commercializzazione</t>
  </si>
  <si>
    <t>Latte</t>
  </si>
  <si>
    <t>Ingrasso</t>
  </si>
  <si>
    <t>riprendere dal modello edifici rurali</t>
  </si>
  <si>
    <t>a seconda se comunitario o individuale</t>
  </si>
  <si>
    <t>Alpe (latte, ingrasso, stalla)</t>
  </si>
  <si>
    <t>Vinificazione</t>
  </si>
  <si>
    <t>Carne</t>
  </si>
  <si>
    <t>Alpe</t>
  </si>
  <si>
    <t>Logistca e stoccaggio</t>
  </si>
  <si>
    <t xml:space="preserve">Ristorazione  </t>
  </si>
  <si>
    <t>Comunicazione, marketing</t>
  </si>
  <si>
    <t>Vendita diretta</t>
  </si>
  <si>
    <t>Energie rinnovabili</t>
  </si>
  <si>
    <t>Valorizzazione della regione</t>
  </si>
  <si>
    <t>Tipo PSR</t>
  </si>
  <si>
    <t>Azienda</t>
  </si>
  <si>
    <t>Ramo aziendale</t>
  </si>
  <si>
    <t>sì</t>
  </si>
  <si>
    <t>no</t>
  </si>
  <si>
    <t>Mutuo di terzi</t>
  </si>
  <si>
    <t>Mutuo bancario</t>
  </si>
  <si>
    <t>Credito d'investimento</t>
  </si>
  <si>
    <t xml:space="preserve">Finanziamento residuo sconosciuto </t>
  </si>
  <si>
    <t>…selezionare</t>
  </si>
  <si>
    <t>Investimenti collettivi nell'interesse del progetto globale</t>
  </si>
  <si>
    <t>aziende individuali</t>
  </si>
  <si>
    <t>collettivo</t>
  </si>
  <si>
    <t>Ente promotore</t>
  </si>
  <si>
    <t>chiarire nello specifico con l'UFAG</t>
  </si>
  <si>
    <t>Amministrazione PSR (non vale come SP)</t>
  </si>
  <si>
    <t xml:space="preserve">Partecipazione minima del Cantone al contributo federale  </t>
  </si>
  <si>
    <t>Afflusso di capitale da disinvestimenti</t>
  </si>
  <si>
    <t>Cashflow da attività di finanziamento cumulative</t>
  </si>
  <si>
    <t>Flussi monetari cumulativi</t>
  </si>
  <si>
    <t>Investimento 9</t>
  </si>
  <si>
    <t>Fonti_di finanziamento</t>
  </si>
  <si>
    <t>…selezionare fonti di finanziamento</t>
  </si>
  <si>
    <t>cumulativo</t>
  </si>
  <si>
    <t>Garantito?</t>
  </si>
  <si>
    <t>Variazione annua del prezzo di acquisto risp. all'anno precedente</t>
  </si>
  <si>
    <t>Altri costi di produzione variabili per SP</t>
  </si>
  <si>
    <t>Contributo di copertura prodotto 3</t>
  </si>
  <si>
    <t>Assicurazioni sociali e spese generali (escl. pigioni)</t>
  </si>
  <si>
    <t>Prodotto 1 - p.es. produzione agricola, trasformazione valorizzazione</t>
  </si>
  <si>
    <t>Formazione del prezzo</t>
  </si>
  <si>
    <t>Margine ente promotore SP</t>
  </si>
  <si>
    <t>Prodotto 3 - p.es. progetti non orientati alla produzione</t>
  </si>
  <si>
    <t>Osservazioni</t>
  </si>
  <si>
    <t>Salario per l'intera azienda</t>
  </si>
  <si>
    <t>CHF / ETP anno</t>
  </si>
  <si>
    <t>quota sul coordinamento globale</t>
  </si>
  <si>
    <t>giorni lavorativi</t>
  </si>
  <si>
    <t xml:space="preserve">Elenco onorari UFPER </t>
  </si>
  <si>
    <t>Quota sul risultato globale</t>
  </si>
  <si>
    <t>MRS (manutenzione, riparazioni, sostituzione) di immobilizzazioni materiali mobili</t>
  </si>
  <si>
    <t>Spese finanziarie (interessi)</t>
  </si>
  <si>
    <t>Variazione del ricavo annuo del x%</t>
  </si>
  <si>
    <t>Tipo di ente promotore</t>
  </si>
  <si>
    <t>Unità considerata della pianificazione finanziaria</t>
  </si>
  <si>
    <t>Possibile procedura per l'utilizzo del modello Finanze e controlling</t>
  </si>
  <si>
    <t>Ubicazione dell'azienda</t>
  </si>
  <si>
    <t>Bonus per tipo di PSR</t>
  </si>
  <si>
    <t>Quota sui costi d'investimento</t>
  </si>
  <si>
    <t>Investimento 1 (p.es. installazione per la vendita)</t>
  </si>
  <si>
    <t xml:space="preserve">Cashflow da attività imprenditoriali </t>
  </si>
  <si>
    <t>Cashflow da attività imprenditoriali cumulative</t>
  </si>
  <si>
    <t>Risultato al lordo di interessi, tasse e ammortamenti</t>
  </si>
  <si>
    <t>Cashflow da attività di investimento cumulative</t>
  </si>
  <si>
    <t xml:space="preserve"> - senza impatto sul cash</t>
  </si>
  <si>
    <t>Totale costi degli interessi</t>
  </si>
  <si>
    <t>Sviluppo di un ramo aziendale nell'azienda agricola</t>
  </si>
  <si>
    <t>Orientato alla catena di valore aggiunto</t>
  </si>
  <si>
    <t>PO 2021</t>
  </si>
  <si>
    <t>Provvedimenti di migliorie fondiarie</t>
  </si>
  <si>
    <t>Provvedimenti individuali obiettivi ecologici</t>
  </si>
  <si>
    <t>Pianura</t>
  </si>
  <si>
    <t>Vino</t>
  </si>
  <si>
    <t>Altro</t>
  </si>
  <si>
    <t>Unità considerata</t>
  </si>
  <si>
    <t>orientato alla catena di valore aggiunto</t>
  </si>
  <si>
    <t>Offerte pedagogiche</t>
  </si>
  <si>
    <t>F &amp; V-trasformazione</t>
  </si>
  <si>
    <t>a seconda dell'ubicazione dell'azienda</t>
  </si>
  <si>
    <t>intersettoriale</t>
  </si>
  <si>
    <t xml:space="preserve">Spese per il personale </t>
  </si>
  <si>
    <t>(possono essere considerate anche sotto spese dirette)</t>
  </si>
  <si>
    <r>
      <t xml:space="preserve">Aliquota di contribuzione Confederazione </t>
    </r>
    <r>
      <rPr>
        <b/>
        <sz val="12"/>
        <color theme="1"/>
        <rFont val="Arial Narrow"/>
        <family val="2"/>
      </rPr>
      <t>senza</t>
    </r>
    <r>
      <rPr>
        <sz val="12"/>
        <color theme="1"/>
        <rFont val="Arial Narrow"/>
        <family val="2"/>
      </rPr>
      <t xml:space="preserve"> bonus PSR </t>
    </r>
  </si>
  <si>
    <r>
      <rPr>
        <b/>
        <sz val="12"/>
        <color theme="1"/>
        <rFont val="Arial Narrow"/>
        <family val="2"/>
      </rPr>
      <t xml:space="preserve">Investimento effettivo </t>
    </r>
    <r>
      <rPr>
        <sz val="12"/>
        <color theme="1"/>
        <rFont val="Arial Narrow"/>
        <family val="2"/>
      </rPr>
      <t>rapporto intermedio 1</t>
    </r>
  </si>
  <si>
    <r>
      <rPr>
        <b/>
        <sz val="12"/>
        <color theme="1"/>
        <rFont val="Arial Narrow"/>
        <family val="2"/>
      </rPr>
      <t xml:space="preserve">Contributo federale effettivo </t>
    </r>
    <r>
      <rPr>
        <sz val="12"/>
        <color theme="1"/>
        <rFont val="Arial Narrow"/>
        <family val="2"/>
      </rPr>
      <t>rapporto intermedio 1</t>
    </r>
  </si>
  <si>
    <r>
      <rPr>
        <b/>
        <sz val="12"/>
        <color theme="1"/>
        <rFont val="Arial Narrow"/>
        <family val="2"/>
      </rPr>
      <t xml:space="preserve">Investimento effettivo </t>
    </r>
    <r>
      <rPr>
        <sz val="12"/>
        <color theme="1"/>
        <rFont val="Arial Narrow"/>
        <family val="2"/>
      </rPr>
      <t>rapporto intermedio 2</t>
    </r>
  </si>
  <si>
    <r>
      <rPr>
        <b/>
        <sz val="12"/>
        <color theme="1"/>
        <rFont val="Arial Narrow"/>
        <family val="2"/>
      </rPr>
      <t xml:space="preserve">Contributo federale </t>
    </r>
    <r>
      <rPr>
        <sz val="12"/>
        <color theme="1"/>
        <rFont val="Arial Narrow"/>
        <family val="2"/>
      </rPr>
      <t>effettivo rapporto intermedio 2</t>
    </r>
  </si>
  <si>
    <r>
      <rPr>
        <b/>
        <sz val="12"/>
        <color theme="1"/>
        <rFont val="Arial Narrow"/>
        <family val="2"/>
      </rPr>
      <t xml:space="preserve">Investimento effettivo </t>
    </r>
    <r>
      <rPr>
        <sz val="12"/>
        <color theme="1"/>
        <rFont val="Arial Narrow"/>
        <family val="2"/>
      </rPr>
      <t xml:space="preserve">rapporto finale </t>
    </r>
  </si>
  <si>
    <r>
      <rPr>
        <b/>
        <sz val="12"/>
        <color theme="1"/>
        <rFont val="Arial Narrow"/>
        <family val="2"/>
      </rPr>
      <t>Contributo federale</t>
    </r>
    <r>
      <rPr>
        <sz val="12"/>
        <color theme="1"/>
        <rFont val="Arial Narrow"/>
        <family val="2"/>
      </rPr>
      <t xml:space="preserve"> effettivo rapporto finale</t>
    </r>
  </si>
  <si>
    <r>
      <t xml:space="preserve">Aliquota di contributzione 
Confederazione </t>
    </r>
    <r>
      <rPr>
        <b/>
        <sz val="12"/>
        <color theme="1"/>
        <rFont val="Arial Narrow"/>
        <family val="2"/>
      </rPr>
      <t>con</t>
    </r>
    <r>
      <rPr>
        <sz val="12"/>
        <color theme="1"/>
        <rFont val="Arial Narrow"/>
        <family val="2"/>
      </rPr>
      <t xml:space="preserve"> bonus PSR </t>
    </r>
  </si>
  <si>
    <r>
      <t>Assicurazioni di cose</t>
    </r>
    <r>
      <rPr>
        <sz val="12"/>
        <rFont val="Arial Narrow"/>
        <family val="2"/>
      </rPr>
      <t xml:space="preserve"> (incl. responsabilità civile)</t>
    </r>
  </si>
  <si>
    <r>
      <t xml:space="preserve">Spese dirette </t>
    </r>
    <r>
      <rPr>
        <sz val="14"/>
        <rFont val="Arial Narrow"/>
        <family val="2"/>
      </rPr>
      <t>(spese per materiale, merci, servizi)</t>
    </r>
  </si>
  <si>
    <r>
      <t xml:space="preserve">Ricavi </t>
    </r>
    <r>
      <rPr>
        <sz val="14"/>
        <rFont val="Arial Narrow"/>
        <family val="2"/>
      </rPr>
      <t>(dalle vendite, servizi, PD, ecc.)</t>
    </r>
  </si>
  <si>
    <r>
      <t>EBITDA</t>
    </r>
    <r>
      <rPr>
        <i/>
        <sz val="14"/>
        <color theme="1"/>
        <rFont val="Arial Narrow"/>
        <family val="2"/>
      </rPr>
      <t>(risultato d’esercizio meno interessi, tasse e ammortamenti)</t>
    </r>
  </si>
  <si>
    <r>
      <t>EBT</t>
    </r>
    <r>
      <rPr>
        <i/>
        <sz val="14"/>
        <color theme="1"/>
        <rFont val="Arial Narrow"/>
        <family val="2"/>
      </rPr>
      <t>(risultato al lordo di interessi e tasse)</t>
    </r>
  </si>
  <si>
    <r>
      <t xml:space="preserve">EBT </t>
    </r>
    <r>
      <rPr>
        <i/>
        <sz val="14"/>
        <color theme="1"/>
        <rFont val="Arial Narrow"/>
        <family val="2"/>
      </rPr>
      <t>(risultato al lordo delle tasse)</t>
    </r>
  </si>
  <si>
    <t>Contributo communale</t>
  </si>
  <si>
    <t>1. Panoramica</t>
  </si>
  <si>
    <t>Campicoltura (incl. centri di raccolta di cereali)</t>
  </si>
  <si>
    <t>Mulini</t>
  </si>
  <si>
    <t>Regione di pianura: trasformazione, stoccaggio e commercializzazione  in comune di prodotti agricoli regionali</t>
  </si>
  <si>
    <t>Ampliamento_e_ulteriore_sviluppo_ramo_aziendale_nell’azienda_agricola</t>
  </si>
  <si>
    <t>Agriturismo: pernottamento, ristorazione, esperienze</t>
  </si>
  <si>
    <t>Trasformazione e stoccaggio</t>
  </si>
  <si>
    <t>Vendita</t>
  </si>
  <si>
    <t>ZC: trasformazione, stoccaggio e commercializzazione in comune di prodotti agricoli regionali</t>
  </si>
  <si>
    <t>ZM: trasformazione, stoccaggio e commercializzazione in comune di prodotti agricoli regionali</t>
  </si>
  <si>
    <t>Contributo cantonale escl. bonus PSR</t>
  </si>
  <si>
    <t>ZM II - IV, regione d'estivazione</t>
  </si>
  <si>
    <t>Edifici alpestre</t>
  </si>
  <si>
    <r>
      <t>Ubicazione dell'azienda = Provenienza della materia prima</t>
    </r>
    <r>
      <rPr>
        <sz val="12"/>
        <color theme="1"/>
        <rFont val="Arial Narrow"/>
        <family val="2"/>
      </rPr>
      <t xml:space="preserve"> (art. 19f cpv. 4 OMSt)</t>
    </r>
  </si>
  <si>
    <t>% quota della provenienza rispetto al quantitativo totale trasformato</t>
  </si>
  <si>
    <t>Tipo (PSR, costruzioni)</t>
  </si>
  <si>
    <t>… selezionare provenienza</t>
  </si>
  <si>
    <t>Regione di montagna o d’estivazione</t>
  </si>
  <si>
    <t>Collina</t>
  </si>
  <si>
    <t>Provenienza della materia prima</t>
  </si>
  <si>
    <t>Provenienza della materia prima regionale trasformata (art. 19 cpv. 6 OMSt)</t>
  </si>
  <si>
    <t>Costi di investimento totali</t>
  </si>
  <si>
    <t>EBITDA</t>
  </si>
  <si>
    <t xml:space="preserve"> </t>
  </si>
  <si>
    <t>Controlling &amp; Monitoring</t>
  </si>
  <si>
    <t>Prezzo</t>
  </si>
  <si>
    <t>Quantità</t>
  </si>
  <si>
    <t>Spese dirette
n = anno precedente</t>
  </si>
  <si>
    <t>Quantità
n = anno precedente</t>
  </si>
  <si>
    <t>% in decimali</t>
  </si>
  <si>
    <t>Ramo Aziendale</t>
  </si>
  <si>
    <t>Trasforamzione e Commercializzazione</t>
  </si>
  <si>
    <t>Ampliamento_e_ulteriore_sviluppo_ramo_aziendale_nell’azienda_agricola &amp; Produzione</t>
  </si>
  <si>
    <t>sottoprogetto (SP)</t>
  </si>
  <si>
    <t>compilare per tutti gli anni</t>
  </si>
  <si>
    <t>Data n</t>
  </si>
  <si>
    <t>Valore iniziale</t>
  </si>
  <si>
    <r>
      <rPr>
        <b/>
        <sz val="12"/>
        <color theme="7" tint="-0.249977111117893"/>
        <rFont val="Arial Narrow"/>
        <family val="2"/>
      </rPr>
      <t>* Ulteriori spiegazioni sul tipo di PSR, sull'orientamento e sul tipo di progetto:</t>
    </r>
    <r>
      <rPr>
        <sz val="12"/>
        <rFont val="Arial Narrow"/>
        <family val="2"/>
      </rPr>
      <t xml:space="preserve">
</t>
    </r>
    <r>
      <rPr>
        <b/>
        <sz val="12"/>
        <rFont val="Arial Narrow"/>
        <family val="2"/>
      </rPr>
      <t>Tipo di PSR:</t>
    </r>
    <r>
      <rPr>
        <sz val="12"/>
        <rFont val="Arial Narrow"/>
        <family val="2"/>
      </rPr>
      <t xml:space="preserve"> orientato alla catena di valore aggiunto o intersettoriale secondo l'OMSt
</t>
    </r>
    <r>
      <rPr>
        <b/>
        <sz val="12"/>
        <rFont val="Arial Narrow"/>
        <family val="2"/>
      </rPr>
      <t xml:space="preserve">Orientamento e tipo di progetto: </t>
    </r>
    <r>
      <rPr>
        <sz val="12"/>
        <rFont val="Arial Narrow"/>
        <family val="2"/>
      </rPr>
      <t>per i progetti PSR si distinguono 5 diversi orientamenti e i relativi tipi di progetto. Un PSR deve presentare almeno 3 sottoprogetti con diversi orientamenti laddove "Amministrazione PSR" non è considerato un sottoprogetto a sé stante. Per i sottoprogetti il cui ente promotore è una singola azienda nell’azienda agricola, selezionare l’orientamento  «Ampliamento e ulteriore sviluppo ramo aziendale nell’azienda agricola». Tutti gli altri enti promotori selezionano l’orientamento e il tipo di progetto che descrive al meglio l’investimento previsto, tra le altre cose effettuato con un finanziamento pubblico. Se un SP presenta investimenti in diversi tipi di progetto, va indicato quello con la maggiore cifra d’affari. 
1. Produzione: frutta e verdura, campicoltura (incl. centri di raccolta di cereali), vino, latte, ingrasso, alpe (latte, ingrasso, stalla), altro
2. Trasformazione F e V, mulini, vinificazione, latte, carne, alpe, altro
3. Commercializzazione: vendita, logistica e stoccaggio, ristorazione, comunicazione/marketing, altro
4. Ampliamento e ulteriore sviluppo ramo aziendale nell’azienda agricola: agriturismo (pernottamento, ristorazione, esperienze), trasformazione e stoccaggio, vendita diretta, offerte pedagogiche, energie rinnovabili, altro
5. Altri: valorizzazione della regione, amministrazione PSR (non vale come SP)</t>
    </r>
  </si>
  <si>
    <t>Provvedimenti individuali trasformazione piccole aziende artigianali</t>
  </si>
  <si>
    <t>Sintesi fonti di finanziamento</t>
  </si>
  <si>
    <t>Interessi</t>
  </si>
  <si>
    <t>Totale finanziamento</t>
  </si>
  <si>
    <t>Afflusso di capitale da finanziamento (incl. rimborsi)</t>
  </si>
  <si>
    <t>Afflusso di capitale da finanziamento (interessi)</t>
  </si>
  <si>
    <r>
      <rPr>
        <b/>
        <sz val="12"/>
        <color rgb="FFFF0000"/>
        <rFont val="Arial Narrow"/>
        <family val="2"/>
      </rPr>
      <t xml:space="preserve">ESEMPIO: </t>
    </r>
    <r>
      <rPr>
        <b/>
        <sz val="12"/>
        <rFont val="Arial Narrow"/>
        <family val="2"/>
      </rPr>
      <t>Pianificazione finanziaria: ipotesi del conto economico</t>
    </r>
  </si>
  <si>
    <r>
      <t xml:space="preserve">Istruzioni  
* </t>
    </r>
    <r>
      <rPr>
        <sz val="12"/>
        <rFont val="Arial Narrow"/>
        <family val="2"/>
      </rPr>
      <t>Il presente foglio Excel è</t>
    </r>
    <r>
      <rPr>
        <u/>
        <sz val="12"/>
        <color rgb="FFFF0000"/>
        <rFont val="Arial Narrow"/>
        <family val="2"/>
      </rPr>
      <t xml:space="preserve"> </t>
    </r>
    <r>
      <rPr>
        <b/>
        <u/>
        <sz val="12"/>
        <color rgb="FFFF0000"/>
        <rFont val="Arial Narrow"/>
        <family val="2"/>
      </rPr>
      <t>una proposta</t>
    </r>
    <r>
      <rPr>
        <u/>
        <sz val="12"/>
        <color rgb="FFFF0000"/>
        <rFont val="Arial Narrow"/>
        <family val="2"/>
      </rPr>
      <t xml:space="preserve"> </t>
    </r>
    <r>
      <rPr>
        <b/>
        <u/>
        <sz val="12"/>
        <color rgb="FFFF0000"/>
        <rFont val="Arial Narrow"/>
        <family val="2"/>
      </rPr>
      <t>/ un esempio</t>
    </r>
    <r>
      <rPr>
        <b/>
        <sz val="12"/>
        <rFont val="Arial Narrow"/>
        <family val="2"/>
      </rPr>
      <t xml:space="preserve"> </t>
    </r>
    <r>
      <rPr>
        <sz val="12"/>
        <rFont val="Arial Narrow"/>
        <family val="2"/>
      </rPr>
      <t>di come potrebbero essere abbozzate le ipotesi del conto economico. Ma è possibile modificare completamente il formato, purché le cifre del conto economico siano dedotte in maniera
comprensibile e coerente.</t>
    </r>
  </si>
  <si>
    <t>A) Panoramica del finanziamento incl. calcolo dei contributi pubblici</t>
  </si>
  <si>
    <t>al anno</t>
  </si>
  <si>
    <t>anni</t>
  </si>
  <si>
    <t>Totale capitale di terzi</t>
  </si>
  <si>
    <t>5. Compilare il CMV</t>
  </si>
  <si>
    <t>Selezionare la categoria del progetto, compilare il calcolo del contributo</t>
  </si>
  <si>
    <t>Riprendere contributi pubblici dal calcolo del contributo</t>
  </si>
  <si>
    <t>Verificare gli indicatori e integrare i valori mancanti</t>
  </si>
  <si>
    <t>Unità di osservazione: nella pianificazione finanziaria è raffigurata l'intera azienda agricola/impresa o solo un ramo aziendale?</t>
  </si>
  <si>
    <t>Flussi monetari annui provenienti da attività operative + costi del finanziamento</t>
  </si>
  <si>
    <t>Contributo totale nel 1° anno dopo l’attuazione</t>
  </si>
  <si>
    <t>B) Calcolo dei contributi per la trasformazione, lo stoccaggio e la commercializzazione collettivi</t>
  </si>
  <si>
    <t xml:space="preserve">- Per le misure trasformazione collettiva: utilizzare la sezione B) «Calcolo del contributo trasformazione collettiva» e trasferire qui le celle in blu
- Per calcolare gli aiuti agli investimenti relativi ai provvedimenti edilizi è possibile utilizzare i moduli di calcolo n. 41, 47, 73 (disponibili online) --&gt; si prega di riportare il contributo cantonale nella colonna "Contributo cantonale escl. bonus PSR" e di allegare il modulo di calcolo
</t>
  </si>
  <si>
    <t>Il Controlling &amp; Monitoring (CMV) serve ai promotori del progetto come strumento di controllo e monitoraggio per confrontare i valori target e quelli effettivi nonché al fine di interpretare le divergenze. A seconda della selezione effettuata nella scheda «Panoramica SP» in merito all'orientamento, al tipo di progetto e all'azienda/al ramo aziendale, in questa scheda sono elencati gli indicatori obbligatori per il sottoprogetto. Se l'azienda agricola/impresa esiste già, è necessario fornire un valore iniziale. Nella colonna N è indicato se i valori devono essere raccolti solo nell'ultimo anno (n+6) o in ogni anno del rapporto (ogni 2 anni). I dati di prezzo e quantità del conto economico vengono inseriti automaticamente nella griglia del CMV. Per i prodotti aggiuntivi, questi dati devono essere inseriti manualmente nella griglia CMV. Inoltre, è possibile elencare, su base volontaria, altri indicatori (nel settore dell'ambiente, della riqualificazione della regione e degli sviluppi sociali). La colonna G è particolarmente importante in quanto viene indicata la situazione iniziale del rispettivo indicatore prima dell'inizio della fase di attuazione. Le informazioni sul CMV di tutti i sottoprogetti del PSR devono essere raggruppate nell'Excel «Panoramica Costi_CMV TAB», aggiornate con il rapporto intermedio/finale e inoltrate all'UFAG.</t>
  </si>
  <si>
    <t>Spiegazioni</t>
  </si>
  <si>
    <t>Controllo con calcolo dei contributi</t>
  </si>
  <si>
    <t>Questa tabella viene compilata automaticamente con le informazioni della tabella «Fonti di finanziamento». Se si prevedono ulteriori variazioni di liquidità, è possibile tenerne conto nelle celle evidenziate in giallo.</t>
  </si>
  <si>
    <t>Pianificazione finanziaria: fonti di finaziamento</t>
  </si>
  <si>
    <r>
      <t xml:space="preserve">* Aprire completamente il foglio Excel: </t>
    </r>
    <r>
      <rPr>
        <sz val="12"/>
        <rFont val="Arial Narrow"/>
        <family val="2"/>
      </rPr>
      <t xml:space="preserve">cliccando sui simboli "+" nel margine grigio a sinistra dell'Excel (accanto alle righe/ colonne del titolo) è possibile aprire l'intero foglio o con il simbolo "-" richiudere parti di esso. 
* I dati di questa tabella saranno automaticamente trasferiti nella scheda "Panoramica Cashflow".
</t>
    </r>
    <r>
      <rPr>
        <b/>
        <sz val="12"/>
        <rFont val="Arial Narrow"/>
        <family val="2"/>
      </rPr>
      <t>1) Investimenti</t>
    </r>
    <r>
      <rPr>
        <sz val="12"/>
        <rFont val="Arial Narrow"/>
        <family val="2"/>
      </rPr>
      <t xml:space="preserve">: aggiungere l'importo dell'investimento e selezionare la fonte del finanziamento nonché l'aliquota dell'ammortamento e indicare la percentuale di manutenzione. Per ogni fonte di finanziamento vanno indicati nuovi flussi monetari (+) e rimborsi (-) all’anno; segnalare i rimborsi con un segno negativo nella riga della rispettiva fonte di finanziamento (p.es. -20'000) --&gt; </t>
    </r>
    <r>
      <rPr>
        <b/>
        <sz val="12"/>
        <rFont val="Arial Narrow"/>
        <family val="2"/>
      </rPr>
      <t xml:space="preserve">attenzione: </t>
    </r>
    <r>
      <rPr>
        <sz val="12"/>
        <rFont val="Arial Narrow"/>
        <family val="2"/>
      </rPr>
      <t xml:space="preserve">per la quota di investimento finanziata con contributi non devono essere calcolati ammortamenti. --&gt; </t>
    </r>
    <r>
      <rPr>
        <b/>
        <sz val="12"/>
        <rFont val="Arial Narrow"/>
        <family val="2"/>
      </rPr>
      <t xml:space="preserve">Attenzione: </t>
    </r>
    <r>
      <rPr>
        <sz val="12"/>
        <rFont val="Arial Narrow"/>
        <family val="2"/>
      </rPr>
      <t xml:space="preserve">il 20% dei contributi pubblici è versato solo nell'ultimo anno, dopo il conteggio finale. Ovvero questa quota deve essere prefinanziata con un'altra fonte di finanziamento e può essere rimborsata l'ultimo anno.  
</t>
    </r>
    <r>
      <rPr>
        <b/>
        <sz val="12"/>
        <rFont val="Arial Narrow"/>
        <family val="2"/>
      </rPr>
      <t>2) Disinvestimento:</t>
    </r>
    <r>
      <rPr>
        <sz val="12"/>
        <rFont val="Arial Narrow"/>
        <family val="2"/>
      </rPr>
      <t xml:space="preserve"> vendita di impianti
</t>
    </r>
  </si>
  <si>
    <t>Panoramica Cashflow</t>
  </si>
  <si>
    <r>
      <rPr>
        <b/>
        <sz val="12"/>
        <color theme="7" tint="-0.249977111117893"/>
        <rFont val="Arial Narrow"/>
        <family val="2"/>
      </rPr>
      <t>Osservazioni generali</t>
    </r>
    <r>
      <rPr>
        <b/>
        <sz val="12"/>
        <rFont val="Arial Narrow"/>
        <family val="2"/>
      </rPr>
      <t xml:space="preserve">
* Spiegazioni dettagliate sono disponibili nelle relative tabelle.
* Nota:</t>
    </r>
    <r>
      <rPr>
        <sz val="12"/>
        <rFont val="Arial Narrow"/>
        <family val="2"/>
      </rPr>
      <t xml:space="preserve"> devono essere utilizzate le tabelle</t>
    </r>
    <r>
      <rPr>
        <b/>
        <sz val="12"/>
        <rFont val="Arial Narrow"/>
        <family val="2"/>
      </rPr>
      <t xml:space="preserve"> </t>
    </r>
    <r>
      <rPr>
        <sz val="12"/>
        <rFont val="Arial Narrow"/>
        <family val="2"/>
      </rPr>
      <t xml:space="preserve">"Panoramica SP", "Conto economico", "Fonti di finanziamento", "Panoramica Cahsflow" e "CMV". La determinazione del conto economico, ovvero le ipotesi alla base dei numeri, deve essere semplice e comprensibile per la verifica. Il foglio "Esempio Ipotesi" è un </t>
    </r>
    <r>
      <rPr>
        <b/>
        <sz val="12"/>
        <rFont val="Arial Narrow"/>
        <family val="2"/>
      </rPr>
      <t>esempio</t>
    </r>
    <r>
      <rPr>
        <sz val="12"/>
        <rFont val="Arial Narrow"/>
        <family val="2"/>
      </rPr>
      <t xml:space="preserve"> di come questa determinazione potrebbe presentarsi, ma può essere modificata e allestita in maniera individuale. 
* </t>
    </r>
    <r>
      <rPr>
        <b/>
        <sz val="12"/>
        <rFont val="Arial Narrow"/>
        <family val="2"/>
      </rPr>
      <t>Aprire completamente il foglio Excel:</t>
    </r>
    <r>
      <rPr>
        <sz val="12"/>
        <rFont val="Arial Narrow"/>
        <family val="2"/>
      </rPr>
      <t xml:space="preserve"> cliccando sui simboli "+" nel margine grigio a sinistra dell'Excel (accanto alle righe/colonne del titolo) è possibile aprire l'intero foglio o con il simbolo "-" richiudere parti di esso.
</t>
    </r>
    <r>
      <rPr>
        <b/>
        <sz val="26"/>
        <color theme="7" tint="-0.249977111117893"/>
        <rFont val="Arial Narrow"/>
        <family val="2"/>
      </rPr>
      <t/>
    </r>
  </si>
  <si>
    <t>4. Fonti die finanziamento, Panoramica Cashflow</t>
  </si>
  <si>
    <r>
      <rPr>
        <sz val="12"/>
        <rFont val="Arial Narrow"/>
        <family val="2"/>
      </rPr>
      <t xml:space="preserve">* </t>
    </r>
    <r>
      <rPr>
        <b/>
        <sz val="12"/>
        <rFont val="Arial Narrow"/>
        <family val="2"/>
      </rPr>
      <t xml:space="preserve">Aprire completamente il foglio Excel: </t>
    </r>
    <r>
      <rPr>
        <sz val="12"/>
        <rFont val="Arial Narrow"/>
        <family val="2"/>
      </rPr>
      <t>cliccando sui simboli "+" nel margine grigio a sinistra dell'Excel (accanto alle righe/ colonne del titolo) è possibile aprire l'intero foglio o con il simbolo "-" richiudere parti di esso. 
* Se l'azienda/impresa esiste già, è necessario indicare il valore dell'anno precedente (n = anno precedente).
* Nella riga 8, sostituire le etichette (n, n+1, ecc.) con gli anni effettivi del PRE. Iniziare con l'anno precedente alla realizzazione del PRE (cella C8). Procedere quindi allo stesso modo per gli anni successivi (celle da D8 a J8).
* Trasferire le ipotesi di quantità e prezzo nel conto economico (colonne L-O).
* Le informazioni sui prezzi e sulle quantità sono importanti per stimare l’ulteriore valore aggiunto e vengono automaticamente elencate direttamente nella griglia del CMV.</t>
    </r>
  </si>
  <si>
    <t xml:space="preserve">- Questo calcolo deve essere compilato SOLO per la trasformazione, lo stoccaggio e la commercializzazione collettivi di prodotti agricoli regionali
- compilare 1 riga per provenienza della materia prima 
- integrare le celle colorate in blu delle righe dei risultati nella tabella A) "Panoramica dei finanziamenti incl. calcolo dei contributi pubblici" (nella colonna C non deve essere selezionato nulla)
</t>
  </si>
  <si>
    <t>Fatturato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</si>
</sst>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
  </numFmts>
  <fonts count="49" x14ac:knownFonts="1">
    <font>
      <sz val="11"/>
      <color theme="1"/>
      <name val="Arial"/>
      <family val="2"/>
    </font>
    <font>
      <sz val="11"/>
      <color theme="1"/>
      <name val="Arial"/>
      <family val="2"/>
    </font>
    <font>
      <sz val="11"/>
      <color theme="1"/>
      <name val="Arial Narrow"/>
      <family val="2"/>
    </font>
    <font>
      <sz val="10"/>
      <color theme="1"/>
      <name val="Arial Narrow"/>
      <family val="2"/>
    </font>
    <font>
      <b/>
      <sz val="10"/>
      <name val="Arial Narrow"/>
      <family val="2"/>
    </font>
    <font>
      <sz val="10"/>
      <color rgb="FFFF0000"/>
      <name val="Arial Narrow"/>
      <family val="2"/>
    </font>
    <font>
      <sz val="11"/>
      <name val="Arial Narrow"/>
      <family val="2"/>
    </font>
    <font>
      <sz val="9"/>
      <color indexed="81"/>
      <name val="Segoe UI"/>
      <family val="2"/>
    </font>
    <font>
      <b/>
      <sz val="9"/>
      <color indexed="81"/>
      <name val="Segoe UI"/>
      <family val="2"/>
    </font>
    <font>
      <b/>
      <sz val="12"/>
      <name val="Arial Narrow"/>
      <family val="2"/>
    </font>
    <font>
      <sz val="12"/>
      <name val="Arial Narrow"/>
      <family val="2"/>
    </font>
    <font>
      <sz val="12"/>
      <color rgb="FFFF0000"/>
      <name val="Arial Narrow"/>
      <family val="2"/>
    </font>
    <font>
      <sz val="12"/>
      <color theme="1"/>
      <name val="Arial Narrow"/>
      <family val="2"/>
    </font>
    <font>
      <sz val="11"/>
      <color theme="1"/>
      <name val="Frutiger 45"/>
      <family val="2"/>
    </font>
    <font>
      <sz val="18"/>
      <name val="Arial Narrow"/>
      <family val="2"/>
    </font>
    <font>
      <sz val="12"/>
      <color rgb="FF7030A0"/>
      <name val="Arial Narrow"/>
      <family val="2"/>
    </font>
    <font>
      <sz val="9"/>
      <color theme="1"/>
      <name val="Arial Narrow"/>
      <family val="2"/>
    </font>
    <font>
      <sz val="12"/>
      <color theme="1"/>
      <name val="Arial Narrow"/>
      <family val="2"/>
    </font>
    <font>
      <b/>
      <sz val="16"/>
      <name val="Arial Narrow"/>
      <family val="2"/>
    </font>
    <font>
      <sz val="22"/>
      <color theme="1"/>
      <name val="Arial Narrow"/>
      <family val="2"/>
    </font>
    <font>
      <sz val="9"/>
      <color rgb="FF000000"/>
      <name val="Arial Narrow"/>
      <family val="2"/>
    </font>
    <font>
      <sz val="9"/>
      <color theme="1"/>
      <name val="Arial Narrow"/>
      <family val="2"/>
    </font>
    <font>
      <sz val="26"/>
      <color theme="1"/>
      <name val="Arial Narrow"/>
      <family val="2"/>
    </font>
    <font>
      <sz val="26"/>
      <name val="Arial Narrow"/>
      <family val="2"/>
    </font>
    <font>
      <b/>
      <sz val="26"/>
      <color theme="7" tint="-0.249977111117893"/>
      <name val="Arial Narrow"/>
      <family val="2"/>
    </font>
    <font>
      <sz val="18"/>
      <color indexed="81"/>
      <name val="Segoe UI"/>
      <family val="2"/>
    </font>
    <font>
      <sz val="14"/>
      <color indexed="81"/>
      <name val="Segoe UI"/>
      <family val="2"/>
    </font>
    <font>
      <b/>
      <sz val="12"/>
      <color theme="1"/>
      <name val="Arial Narrow"/>
      <family val="2"/>
    </font>
    <font>
      <b/>
      <sz val="12"/>
      <color theme="7" tint="-0.249977111117893"/>
      <name val="Arial Narrow"/>
      <family val="2"/>
    </font>
    <font>
      <b/>
      <i/>
      <sz val="12"/>
      <color theme="1"/>
      <name val="Arial Narrow"/>
      <family val="2"/>
    </font>
    <font>
      <b/>
      <sz val="12"/>
      <color indexed="8"/>
      <name val="Arial Narrow"/>
      <family val="2"/>
    </font>
    <font>
      <sz val="12"/>
      <color theme="1"/>
      <name val="Frutiger 45"/>
      <family val="2"/>
    </font>
    <font>
      <sz val="12"/>
      <color indexed="8"/>
      <name val="Arial Narrow"/>
      <family val="2"/>
    </font>
    <font>
      <b/>
      <sz val="12"/>
      <color rgb="FFFF0000"/>
      <name val="Arial Narrow"/>
      <family val="2"/>
    </font>
    <font>
      <sz val="12"/>
      <color theme="1"/>
      <name val="Arial"/>
      <family val="2"/>
    </font>
    <font>
      <sz val="12"/>
      <color rgb="FF00B050"/>
      <name val="Arial Narrow"/>
      <family val="2"/>
    </font>
    <font>
      <i/>
      <sz val="12"/>
      <name val="Arial Narrow"/>
      <family val="2"/>
    </font>
    <font>
      <b/>
      <sz val="14"/>
      <name val="Arial Narrow"/>
      <family val="2"/>
    </font>
    <font>
      <sz val="14"/>
      <name val="Arial Narrow"/>
      <family val="2"/>
    </font>
    <font>
      <sz val="14"/>
      <color theme="1"/>
      <name val="Arial Narrow"/>
      <family val="2"/>
    </font>
    <font>
      <b/>
      <i/>
      <sz val="14"/>
      <color theme="1"/>
      <name val="Arial Narrow"/>
      <family val="2"/>
    </font>
    <font>
      <sz val="14"/>
      <color rgb="FF7030A0"/>
      <name val="Arial Narrow"/>
      <family val="2"/>
    </font>
    <font>
      <i/>
      <sz val="14"/>
      <color theme="1"/>
      <name val="Arial Narrow"/>
      <family val="2"/>
    </font>
    <font>
      <b/>
      <sz val="14"/>
      <color theme="1"/>
      <name val="Arial Narrow"/>
      <family val="2"/>
    </font>
    <font>
      <b/>
      <sz val="11"/>
      <color theme="1"/>
      <name val="Arial"/>
      <family val="2"/>
    </font>
    <font>
      <b/>
      <sz val="12"/>
      <color theme="1"/>
      <name val="Arial"/>
      <family val="2"/>
    </font>
    <font>
      <sz val="11"/>
      <color rgb="FF7030A0"/>
      <name val="Arial Narrow"/>
      <family val="2"/>
    </font>
    <font>
      <u/>
      <sz val="12"/>
      <color rgb="FFFF0000"/>
      <name val="Arial Narrow"/>
      <family val="2"/>
    </font>
    <font>
      <b/>
      <u/>
      <sz val="12"/>
      <color rgb="FFFF0000"/>
      <name val="Arial Narrow"/>
      <family val="2"/>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FFFF00"/>
        <bgColor indexed="64"/>
      </patternFill>
    </fill>
    <fill>
      <patternFill patternType="solid">
        <fgColor rgb="FFDDEBF7"/>
        <bgColor indexed="64"/>
      </patternFill>
    </fill>
    <fill>
      <patternFill patternType="solid">
        <fgColor theme="4" tint="0.79998168889431442"/>
        <bgColor indexed="64"/>
      </patternFill>
    </fill>
    <fill>
      <patternFill patternType="solid">
        <fgColor theme="4" tint="0.59999389629810485"/>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dotted">
        <color indexed="64"/>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ashed">
        <color auto="1"/>
      </right>
      <top/>
      <bottom/>
      <diagonal/>
    </border>
    <border>
      <left/>
      <right style="dashed">
        <color auto="1"/>
      </right>
      <top style="thin">
        <color indexed="64"/>
      </top>
      <bottom style="dotted">
        <color indexed="64"/>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bottom style="double">
        <color indexed="64"/>
      </bottom>
      <diagonal/>
    </border>
    <border>
      <left style="dotted">
        <color indexed="64"/>
      </left>
      <right style="thin">
        <color indexed="64"/>
      </right>
      <top/>
      <bottom style="double">
        <color indexed="64"/>
      </bottom>
      <diagonal/>
    </border>
    <border>
      <left/>
      <right style="thin">
        <color indexed="64"/>
      </right>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ashed">
        <color auto="1"/>
      </left>
      <right style="dotted">
        <color auto="1"/>
      </right>
      <top style="thin">
        <color indexed="64"/>
      </top>
      <bottom style="dotted">
        <color indexed="64"/>
      </bottom>
      <diagonal/>
    </border>
    <border>
      <left style="dashed">
        <color auto="1"/>
      </left>
      <right style="dotted">
        <color auto="1"/>
      </right>
      <top/>
      <bottom/>
      <diagonal/>
    </border>
    <border>
      <left style="dotted">
        <color indexed="64"/>
      </left>
      <right/>
      <top style="dotted">
        <color indexed="64"/>
      </top>
      <bottom/>
      <diagonal/>
    </border>
    <border>
      <left style="thick">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right/>
      <top style="thick">
        <color theme="7" tint="0.79995117038483843"/>
      </top>
      <bottom/>
      <diagonal/>
    </border>
    <border>
      <left style="medium">
        <color rgb="FFA3A3A3"/>
      </left>
      <right style="medium">
        <color rgb="FFA3A3A3"/>
      </right>
      <top style="medium">
        <color rgb="FFA3A3A3"/>
      </top>
      <bottom style="medium">
        <color rgb="FFA3A3A3"/>
      </bottom>
      <diagonal/>
    </border>
    <border>
      <left style="thick">
        <color theme="7" tint="0.79998168889431442"/>
      </left>
      <right/>
      <top style="thin">
        <color indexed="64"/>
      </top>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top style="dotted">
        <color indexed="64"/>
      </top>
      <bottom style="dotted">
        <color indexed="64"/>
      </bottom>
      <diagonal/>
    </border>
    <border>
      <left/>
      <right style="medium">
        <color indexed="64"/>
      </right>
      <top style="thin">
        <color indexed="64"/>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n">
        <color indexed="64"/>
      </left>
      <right style="dotted">
        <color indexed="64"/>
      </right>
      <top/>
      <bottom style="dotted">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auto="1"/>
      </top>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top style="thin">
        <color indexed="64"/>
      </top>
      <bottom style="dotted">
        <color indexed="64"/>
      </bottom>
      <diagonal/>
    </border>
    <border>
      <left style="thin">
        <color auto="1"/>
      </left>
      <right/>
      <top style="dotted">
        <color auto="1"/>
      </top>
      <bottom style="dotted">
        <color auto="1"/>
      </bottom>
      <diagonal/>
    </border>
    <border>
      <left style="thin">
        <color indexed="64"/>
      </left>
      <right/>
      <top/>
      <bottom style="dotted">
        <color indexed="64"/>
      </bottom>
      <diagonal/>
    </border>
  </borders>
  <cellStyleXfs count="5">
    <xf numFmtId="0" fontId="0" fillId="0" borderId="0"/>
    <xf numFmtId="9" fontId="1" fillId="0" borderId="0" applyFont="0" applyFill="0" applyBorder="0" applyAlignment="0" applyProtection="0"/>
    <xf numFmtId="0" fontId="1" fillId="8" borderId="49" applyNumberFormat="0" applyFont="0" applyAlignment="0" applyProtection="0"/>
    <xf numFmtId="0" fontId="1" fillId="7" borderId="0" applyNumberFormat="0" applyBorder="0" applyAlignment="0" applyProtection="0"/>
    <xf numFmtId="0" fontId="13" fillId="0" borderId="0"/>
  </cellStyleXfs>
  <cellXfs count="811">
    <xf numFmtId="0" fontId="0" fillId="0" borderId="0" xfId="0"/>
    <xf numFmtId="0" fontId="2" fillId="0" borderId="0" xfId="0" applyFont="1" applyAlignment="1" applyProtection="1">
      <alignment vertical="top"/>
      <protection locked="0"/>
    </xf>
    <xf numFmtId="0" fontId="2" fillId="0" borderId="0" xfId="0" applyFont="1" applyProtection="1">
      <protection locked="0"/>
    </xf>
    <xf numFmtId="0" fontId="6" fillId="0" borderId="0" xfId="0" applyFont="1" applyProtection="1">
      <protection locked="0"/>
    </xf>
    <xf numFmtId="0" fontId="6" fillId="0" borderId="0" xfId="0" applyFont="1" applyAlignment="1" applyProtection="1">
      <alignment vertical="top"/>
      <protection locked="0"/>
    </xf>
    <xf numFmtId="0" fontId="12" fillId="0" borderId="0" xfId="0" applyFont="1" applyProtection="1">
      <protection locked="0"/>
    </xf>
    <xf numFmtId="0" fontId="10" fillId="0" borderId="92" xfId="0" applyFont="1" applyBorder="1" applyAlignment="1" applyProtection="1">
      <alignment horizontal="left" vertical="top" wrapText="1"/>
      <protection locked="0"/>
    </xf>
    <xf numFmtId="0" fontId="12" fillId="0" borderId="0" xfId="0" applyFont="1" applyAlignment="1" applyProtection="1">
      <alignment vertical="top"/>
      <protection locked="0"/>
    </xf>
    <xf numFmtId="0" fontId="12" fillId="0" borderId="0" xfId="0" applyFont="1" applyBorder="1" applyAlignment="1" applyProtection="1">
      <alignment vertical="top"/>
      <protection locked="0"/>
    </xf>
    <xf numFmtId="0" fontId="14" fillId="0" borderId="0" xfId="0" applyFont="1" applyAlignment="1" applyProtection="1">
      <alignment vertical="center"/>
      <protection locked="0"/>
    </xf>
    <xf numFmtId="9" fontId="12" fillId="0" borderId="0" xfId="1" applyFont="1" applyAlignment="1" applyProtection="1">
      <alignment vertical="top"/>
      <protection locked="0"/>
    </xf>
    <xf numFmtId="0" fontId="10" fillId="0" borderId="0" xfId="0" applyFont="1" applyProtection="1">
      <protection locked="0"/>
    </xf>
    <xf numFmtId="0" fontId="10" fillId="0" borderId="0" xfId="0" applyFont="1" applyAlignment="1">
      <alignment horizontal="left" vertical="top"/>
    </xf>
    <xf numFmtId="0" fontId="11" fillId="0" borderId="63" xfId="0" applyFont="1" applyBorder="1" applyAlignment="1">
      <alignment horizontal="left" vertical="top" wrapText="1"/>
    </xf>
    <xf numFmtId="9" fontId="12" fillId="0" borderId="0" xfId="1" applyFont="1" applyAlignment="1">
      <alignment horizontal="left" vertical="top"/>
    </xf>
    <xf numFmtId="9" fontId="10" fillId="0" borderId="0" xfId="0" applyNumberFormat="1" applyFont="1" applyAlignment="1">
      <alignment horizontal="left" vertical="top"/>
    </xf>
    <xf numFmtId="9" fontId="12" fillId="0" borderId="7" xfId="1" applyFont="1" applyBorder="1" applyAlignment="1">
      <alignment horizontal="left" vertical="top"/>
    </xf>
    <xf numFmtId="0" fontId="10" fillId="0" borderId="7" xfId="0" applyFont="1" applyBorder="1" applyAlignment="1">
      <alignment horizontal="left" vertical="top"/>
    </xf>
    <xf numFmtId="9" fontId="10" fillId="0" borderId="0" xfId="1" applyFont="1" applyAlignment="1">
      <alignment horizontal="left" vertical="top"/>
    </xf>
    <xf numFmtId="0" fontId="10" fillId="0" borderId="0" xfId="0" applyFont="1" applyAlignment="1">
      <alignment vertical="top"/>
    </xf>
    <xf numFmtId="0" fontId="9" fillId="0" borderId="1" xfId="0" applyFont="1" applyBorder="1" applyAlignment="1">
      <alignment vertical="top"/>
    </xf>
    <xf numFmtId="0" fontId="10" fillId="0" borderId="7" xfId="0" applyFont="1" applyBorder="1" applyAlignment="1">
      <alignment vertical="top"/>
    </xf>
    <xf numFmtId="0" fontId="9" fillId="3" borderId="4" xfId="0" applyFont="1" applyFill="1" applyBorder="1" applyAlignment="1">
      <alignment vertical="top"/>
    </xf>
    <xf numFmtId="0" fontId="9" fillId="3" borderId="10" xfId="0" applyFont="1" applyFill="1" applyBorder="1" applyAlignment="1">
      <alignment vertical="top"/>
    </xf>
    <xf numFmtId="0" fontId="10" fillId="0" borderId="8" xfId="0" applyFont="1" applyBorder="1" applyAlignment="1">
      <alignment vertical="top"/>
    </xf>
    <xf numFmtId="0" fontId="9" fillId="0" borderId="1" xfId="0" applyFont="1" applyBorder="1" applyAlignment="1">
      <alignment vertical="top" wrapText="1"/>
    </xf>
    <xf numFmtId="0" fontId="9" fillId="0" borderId="8" xfId="0" applyFont="1" applyBorder="1" applyAlignment="1">
      <alignment vertical="top"/>
    </xf>
    <xf numFmtId="0" fontId="9" fillId="0" borderId="7" xfId="0" applyFont="1" applyBorder="1" applyAlignment="1">
      <alignment vertical="top"/>
    </xf>
    <xf numFmtId="0" fontId="9" fillId="3" borderId="39" xfId="0" applyFont="1" applyFill="1" applyBorder="1" applyAlignment="1">
      <alignment vertical="top" wrapText="1"/>
    </xf>
    <xf numFmtId="0" fontId="9" fillId="0" borderId="2" xfId="0" applyFont="1" applyBorder="1" applyAlignment="1">
      <alignment vertical="top" wrapText="1"/>
    </xf>
    <xf numFmtId="0" fontId="9" fillId="0" borderId="10" xfId="0" applyFont="1" applyFill="1" applyBorder="1" applyAlignment="1">
      <alignment vertical="top" wrapText="1"/>
    </xf>
    <xf numFmtId="0" fontId="9" fillId="0" borderId="4" xfId="0" applyFont="1" applyBorder="1" applyAlignment="1">
      <alignment vertical="top"/>
    </xf>
    <xf numFmtId="0" fontId="10" fillId="0" borderId="63" xfId="0" applyFont="1" applyFill="1" applyBorder="1" applyAlignment="1">
      <alignment vertical="top" wrapText="1"/>
    </xf>
    <xf numFmtId="0" fontId="9" fillId="0" borderId="0" xfId="0" applyFont="1" applyBorder="1" applyAlignment="1">
      <alignment vertical="top" wrapText="1"/>
    </xf>
    <xf numFmtId="0" fontId="9" fillId="0" borderId="7" xfId="0" applyFont="1" applyFill="1" applyBorder="1" applyAlignment="1">
      <alignment vertical="top" wrapText="1"/>
    </xf>
    <xf numFmtId="0" fontId="9" fillId="0" borderId="0" xfId="0" applyFont="1" applyBorder="1" applyAlignment="1">
      <alignment vertical="top"/>
    </xf>
    <xf numFmtId="0" fontId="9" fillId="0" borderId="0" xfId="0" applyFont="1" applyFill="1" applyBorder="1" applyAlignment="1">
      <alignment vertical="top" wrapText="1"/>
    </xf>
    <xf numFmtId="0" fontId="10" fillId="0" borderId="63" xfId="0" applyFont="1" applyBorder="1" applyAlignment="1">
      <alignment horizontal="left" vertical="top" wrapText="1"/>
    </xf>
    <xf numFmtId="0" fontId="10" fillId="0" borderId="7" xfId="0" applyFont="1" applyBorder="1" applyAlignment="1">
      <alignment horizontal="left" vertical="top" wrapText="1"/>
    </xf>
    <xf numFmtId="9" fontId="10" fillId="9" borderId="0" xfId="1" applyFont="1" applyFill="1" applyAlignment="1">
      <alignment horizontal="left" vertical="top"/>
    </xf>
    <xf numFmtId="9" fontId="12" fillId="9" borderId="0" xfId="1" applyFont="1" applyFill="1" applyAlignment="1">
      <alignment horizontal="left" vertical="top"/>
    </xf>
    <xf numFmtId="0" fontId="12" fillId="0" borderId="0" xfId="0" applyFont="1"/>
    <xf numFmtId="0" fontId="15" fillId="0" borderId="63" xfId="0" applyFont="1" applyBorder="1" applyAlignment="1">
      <alignment horizontal="left" vertical="top" wrapText="1"/>
    </xf>
    <xf numFmtId="0" fontId="10" fillId="0" borderId="7" xfId="0" applyFont="1" applyBorder="1" applyAlignment="1">
      <alignment vertical="top" wrapText="1"/>
    </xf>
    <xf numFmtId="0" fontId="9" fillId="3" borderId="52" xfId="0" applyFont="1" applyFill="1" applyBorder="1" applyAlignment="1">
      <alignment vertical="top" wrapText="1"/>
    </xf>
    <xf numFmtId="0" fontId="10" fillId="0" borderId="52" xfId="0" applyFont="1" applyBorder="1" applyAlignment="1">
      <alignment vertical="top" wrapText="1"/>
    </xf>
    <xf numFmtId="9" fontId="10" fillId="0" borderId="52" xfId="1" applyFont="1" applyBorder="1" applyAlignment="1">
      <alignment vertical="top" wrapText="1"/>
    </xf>
    <xf numFmtId="0" fontId="9" fillId="3" borderId="1" xfId="0" applyFont="1" applyFill="1" applyBorder="1" applyAlignment="1">
      <alignment vertical="top" wrapText="1"/>
    </xf>
    <xf numFmtId="0" fontId="12" fillId="0" borderId="52" xfId="0" applyFont="1" applyBorder="1" applyAlignment="1">
      <alignment vertical="center" wrapText="1"/>
    </xf>
    <xf numFmtId="3" fontId="12" fillId="0" borderId="51" xfId="0" applyNumberFormat="1" applyFont="1" applyFill="1" applyBorder="1"/>
    <xf numFmtId="3" fontId="12" fillId="0" borderId="61" xfId="0" applyNumberFormat="1" applyFont="1" applyFill="1" applyBorder="1"/>
    <xf numFmtId="0" fontId="12" fillId="3" borderId="2" xfId="0" applyFont="1" applyFill="1" applyBorder="1" applyAlignment="1">
      <alignment vertical="center" wrapText="1"/>
    </xf>
    <xf numFmtId="166" fontId="10" fillId="0" borderId="0" xfId="0" applyNumberFormat="1" applyFont="1" applyAlignment="1">
      <alignment horizontal="left" vertical="top"/>
    </xf>
    <xf numFmtId="0" fontId="16" fillId="0" borderId="2" xfId="0" applyFont="1" applyBorder="1" applyAlignment="1">
      <alignment vertical="center" wrapText="1"/>
    </xf>
    <xf numFmtId="0" fontId="16" fillId="0" borderId="4" xfId="0" applyFont="1" applyBorder="1" applyAlignment="1">
      <alignment vertical="center" wrapText="1"/>
    </xf>
    <xf numFmtId="0" fontId="9" fillId="2" borderId="1" xfId="0" applyFont="1" applyFill="1" applyBorder="1" applyAlignment="1">
      <alignment vertical="center"/>
    </xf>
    <xf numFmtId="0" fontId="12" fillId="0" borderId="0" xfId="0" applyFont="1" applyBorder="1" applyAlignment="1">
      <alignment vertical="center" wrapText="1"/>
    </xf>
    <xf numFmtId="0" fontId="17" fillId="0" borderId="4" xfId="0" applyFont="1" applyBorder="1" applyAlignment="1">
      <alignment vertical="center" wrapText="1"/>
    </xf>
    <xf numFmtId="0" fontId="19" fillId="2" borderId="0" xfId="0" applyFont="1" applyFill="1" applyAlignment="1" applyProtection="1">
      <alignment vertical="top"/>
      <protection locked="0"/>
    </xf>
    <xf numFmtId="0" fontId="20" fillId="10" borderId="93" xfId="0" applyFont="1" applyFill="1" applyBorder="1" applyAlignment="1">
      <alignment vertical="center" wrapText="1"/>
    </xf>
    <xf numFmtId="0" fontId="5" fillId="0" borderId="63" xfId="0" applyFont="1" applyBorder="1" applyAlignment="1">
      <alignment horizontal="left" vertical="top" wrapText="1"/>
    </xf>
    <xf numFmtId="9" fontId="3" fillId="0" borderId="7" xfId="1" applyFont="1" applyBorder="1" applyAlignment="1">
      <alignment horizontal="left" vertical="top"/>
    </xf>
    <xf numFmtId="0" fontId="21" fillId="0" borderId="4"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4" fillId="3" borderId="52" xfId="0" applyFont="1" applyFill="1" applyBorder="1" applyAlignment="1">
      <alignment vertical="top" wrapText="1"/>
    </xf>
    <xf numFmtId="0" fontId="3" fillId="0" borderId="52" xfId="0" applyFont="1" applyBorder="1" applyAlignment="1">
      <alignment vertical="center" wrapText="1"/>
    </xf>
    <xf numFmtId="0" fontId="9" fillId="0" borderId="52" xfId="0" applyFont="1" applyFill="1" applyBorder="1" applyAlignment="1">
      <alignment vertical="top" wrapText="1"/>
    </xf>
    <xf numFmtId="0" fontId="10" fillId="0" borderId="0" xfId="0" applyFont="1" applyFill="1" applyAlignment="1">
      <alignment vertical="top"/>
    </xf>
    <xf numFmtId="0" fontId="12" fillId="0" borderId="52" xfId="0" applyFont="1" applyFill="1" applyBorder="1" applyAlignment="1">
      <alignment vertical="center" wrapText="1"/>
    </xf>
    <xf numFmtId="0" fontId="12" fillId="0" borderId="0" xfId="0" applyFont="1" applyFill="1" applyBorder="1" applyAlignment="1">
      <alignment vertical="center" wrapText="1"/>
    </xf>
    <xf numFmtId="0" fontId="10" fillId="9" borderId="0" xfId="0" applyFont="1" applyFill="1" applyAlignment="1">
      <alignment horizontal="left" vertical="top"/>
    </xf>
    <xf numFmtId="0" fontId="20" fillId="9" borderId="93" xfId="0" applyFont="1" applyFill="1" applyBorder="1" applyAlignment="1">
      <alignment vertical="center" wrapText="1"/>
    </xf>
    <xf numFmtId="0" fontId="9" fillId="9" borderId="0" xfId="0" applyFont="1" applyFill="1" applyAlignment="1">
      <alignment vertical="top"/>
    </xf>
    <xf numFmtId="3" fontId="12" fillId="9" borderId="61" xfId="0" applyNumberFormat="1" applyFont="1" applyFill="1" applyBorder="1" applyAlignment="1">
      <alignment vertical="top"/>
    </xf>
    <xf numFmtId="0" fontId="9" fillId="9" borderId="1" xfId="0" applyFont="1" applyFill="1" applyBorder="1" applyAlignment="1">
      <alignment vertical="top" wrapText="1"/>
    </xf>
    <xf numFmtId="0" fontId="10" fillId="9" borderId="63" xfId="0" applyFont="1" applyFill="1" applyBorder="1" applyAlignment="1">
      <alignment horizontal="left" vertical="top" wrapText="1"/>
    </xf>
    <xf numFmtId="0" fontId="9" fillId="9" borderId="63" xfId="0" applyFont="1" applyFill="1" applyBorder="1" applyAlignment="1">
      <alignment vertical="top" wrapText="1"/>
    </xf>
    <xf numFmtId="0" fontId="9" fillId="9" borderId="1" xfId="0" applyFont="1" applyFill="1" applyBorder="1" applyAlignment="1">
      <alignment vertical="top"/>
    </xf>
    <xf numFmtId="0" fontId="15" fillId="9" borderId="0" xfId="0" applyFont="1" applyFill="1" applyBorder="1" applyAlignment="1">
      <alignment horizontal="left" vertical="top" wrapText="1"/>
    </xf>
    <xf numFmtId="0" fontId="9" fillId="9" borderId="52" xfId="0" applyFont="1" applyFill="1" applyBorder="1" applyAlignment="1">
      <alignment vertical="top" wrapText="1"/>
    </xf>
    <xf numFmtId="0" fontId="10" fillId="9" borderId="52" xfId="0" applyFont="1" applyFill="1" applyBorder="1" applyAlignment="1">
      <alignment vertical="top" wrapText="1"/>
    </xf>
    <xf numFmtId="0" fontId="16" fillId="9" borderId="2" xfId="0" applyFont="1" applyFill="1" applyBorder="1" applyAlignment="1">
      <alignment vertical="center" wrapText="1"/>
    </xf>
    <xf numFmtId="0" fontId="16" fillId="9" borderId="4" xfId="0" applyFont="1" applyFill="1" applyBorder="1" applyAlignment="1">
      <alignment vertical="center" wrapText="1"/>
    </xf>
    <xf numFmtId="0" fontId="3" fillId="9" borderId="52" xfId="0" applyFont="1" applyFill="1" applyBorder="1" applyAlignment="1">
      <alignment vertical="center" wrapText="1"/>
    </xf>
    <xf numFmtId="0" fontId="22" fillId="0" borderId="0" xfId="0" applyFont="1" applyAlignment="1" applyProtection="1">
      <alignment vertical="top"/>
      <protection locked="0"/>
    </xf>
    <xf numFmtId="0" fontId="23" fillId="0" borderId="0" xfId="0" applyFont="1" applyAlignment="1" applyProtection="1">
      <alignment horizontal="left" vertical="center"/>
      <protection locked="0"/>
    </xf>
    <xf numFmtId="0" fontId="23" fillId="0" borderId="0" xfId="0" applyFont="1" applyAlignment="1" applyProtection="1">
      <alignment vertical="top"/>
      <protection locked="0"/>
    </xf>
    <xf numFmtId="0" fontId="27" fillId="2" borderId="0" xfId="0" applyFont="1" applyFill="1" applyAlignment="1" applyProtection="1">
      <alignment vertical="top"/>
      <protection locked="0"/>
    </xf>
    <xf numFmtId="0" fontId="27" fillId="2" borderId="0" xfId="0" applyFont="1" applyFill="1" applyAlignment="1" applyProtection="1">
      <alignment vertical="top" wrapText="1"/>
      <protection locked="0"/>
    </xf>
    <xf numFmtId="0" fontId="12" fillId="2" borderId="0" xfId="0" applyFont="1" applyFill="1" applyAlignment="1" applyProtection="1">
      <alignment vertical="top"/>
      <protection locked="0"/>
    </xf>
    <xf numFmtId="0" fontId="9" fillId="0" borderId="6" xfId="0" applyFont="1" applyFill="1" applyBorder="1" applyAlignment="1" applyProtection="1">
      <alignment horizontal="left" vertical="center"/>
      <protection locked="0"/>
    </xf>
    <xf numFmtId="0" fontId="9" fillId="3" borderId="6" xfId="0" applyFont="1" applyFill="1" applyBorder="1" applyAlignment="1" applyProtection="1">
      <alignment vertical="center"/>
      <protection locked="0"/>
    </xf>
    <xf numFmtId="14" fontId="10" fillId="3" borderId="6"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Alignment="1" applyProtection="1">
      <alignment vertical="center" wrapText="1"/>
      <protection locked="0"/>
    </xf>
    <xf numFmtId="0" fontId="9" fillId="0" borderId="41" xfId="0" applyFont="1" applyFill="1" applyBorder="1" applyAlignment="1" applyProtection="1">
      <alignment horizontal="left" vertical="center"/>
      <protection locked="0"/>
    </xf>
    <xf numFmtId="0" fontId="12" fillId="4" borderId="41" xfId="0" applyFont="1" applyFill="1" applyBorder="1" applyAlignment="1" applyProtection="1">
      <alignment vertical="center"/>
      <protection locked="0"/>
    </xf>
    <xf numFmtId="0" fontId="9" fillId="0"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vertical="center"/>
      <protection locked="0"/>
    </xf>
    <xf numFmtId="0" fontId="12" fillId="0" borderId="1" xfId="0" applyFont="1" applyFill="1" applyBorder="1" applyAlignment="1" applyProtection="1">
      <alignment vertical="center"/>
      <protection locked="0"/>
    </xf>
    <xf numFmtId="0" fontId="12" fillId="0" borderId="1" xfId="0" applyFont="1" applyFill="1" applyBorder="1" applyAlignment="1" applyProtection="1">
      <alignment vertical="center" wrapText="1"/>
      <protection locked="0"/>
    </xf>
    <xf numFmtId="0" fontId="12" fillId="0" borderId="0" xfId="0" applyFont="1" applyAlignment="1" applyProtection="1">
      <alignment vertical="top" wrapText="1"/>
      <protection locked="0"/>
    </xf>
    <xf numFmtId="0" fontId="12" fillId="0" borderId="2" xfId="0" applyFont="1" applyBorder="1" applyAlignment="1" applyProtection="1">
      <alignment vertical="top"/>
      <protection locked="0"/>
    </xf>
    <xf numFmtId="0" fontId="10" fillId="0" borderId="0" xfId="0" applyFont="1" applyBorder="1" applyAlignment="1" applyProtection="1">
      <alignment vertical="top" wrapText="1"/>
      <protection locked="0"/>
    </xf>
    <xf numFmtId="0" fontId="10" fillId="0" borderId="0" xfId="0" applyFont="1" applyBorder="1" applyAlignment="1" applyProtection="1">
      <alignment vertical="top"/>
      <protection locked="0"/>
    </xf>
    <xf numFmtId="0" fontId="10" fillId="0" borderId="4" xfId="0" applyFont="1" applyBorder="1" applyAlignment="1" applyProtection="1">
      <alignment vertical="top" wrapText="1"/>
      <protection locked="0"/>
    </xf>
    <xf numFmtId="0" fontId="9" fillId="3" borderId="0" xfId="0" applyFont="1" applyFill="1" applyBorder="1" applyAlignment="1" applyProtection="1">
      <alignment vertical="center"/>
      <protection locked="0"/>
    </xf>
    <xf numFmtId="167" fontId="12" fillId="0" borderId="0" xfId="0" applyNumberFormat="1" applyFont="1" applyAlignment="1" applyProtection="1">
      <alignment vertical="top"/>
      <protection locked="0"/>
    </xf>
    <xf numFmtId="0" fontId="11" fillId="0" borderId="0" xfId="0" applyFont="1" applyAlignment="1" applyProtection="1">
      <alignment vertical="top"/>
      <protection locked="0"/>
    </xf>
    <xf numFmtId="166" fontId="12" fillId="0" borderId="0" xfId="0" applyNumberFormat="1" applyFont="1" applyAlignment="1" applyProtection="1">
      <alignment vertical="top"/>
      <protection locked="0"/>
    </xf>
    <xf numFmtId="0" fontId="10" fillId="0" borderId="0"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2" fillId="0" borderId="0" xfId="0" applyFont="1" applyFill="1" applyAlignment="1" applyProtection="1">
      <alignment vertical="top"/>
      <protection locked="0"/>
    </xf>
    <xf numFmtId="0" fontId="12" fillId="0" borderId="2" xfId="0" applyFont="1" applyBorder="1" applyProtection="1">
      <protection locked="0"/>
    </xf>
    <xf numFmtId="0" fontId="12" fillId="0" borderId="9" xfId="0" applyFont="1" applyBorder="1" applyProtection="1">
      <protection locked="0"/>
    </xf>
    <xf numFmtId="0" fontId="27" fillId="0" borderId="63" xfId="0" applyFont="1" applyBorder="1" applyAlignment="1" applyProtection="1">
      <alignment vertical="top"/>
      <protection locked="0"/>
    </xf>
    <xf numFmtId="0" fontId="9" fillId="0" borderId="63" xfId="0" applyFont="1" applyFill="1" applyBorder="1" applyAlignment="1" applyProtection="1">
      <alignment vertical="top"/>
      <protection locked="0"/>
    </xf>
    <xf numFmtId="0" fontId="27" fillId="0" borderId="21" xfId="0" applyFont="1" applyBorder="1" applyAlignment="1" applyProtection="1">
      <alignment vertical="top" wrapText="1"/>
      <protection locked="0"/>
    </xf>
    <xf numFmtId="0" fontId="27" fillId="0" borderId="27" xfId="0" applyFont="1" applyBorder="1" applyAlignment="1" applyProtection="1">
      <alignment vertical="top" wrapText="1"/>
      <protection locked="0"/>
    </xf>
    <xf numFmtId="0" fontId="12" fillId="0" borderId="46" xfId="0" applyFont="1" applyBorder="1" applyAlignment="1" applyProtection="1">
      <alignment vertical="top" wrapText="1"/>
      <protection locked="0"/>
    </xf>
    <xf numFmtId="0" fontId="27" fillId="0" borderId="52" xfId="0" applyFont="1" applyFill="1" applyBorder="1" applyAlignment="1" applyProtection="1">
      <alignment vertical="top" wrapText="1"/>
      <protection locked="0"/>
    </xf>
    <xf numFmtId="0" fontId="12" fillId="0" borderId="52" xfId="0" applyFont="1" applyBorder="1" applyAlignment="1" applyProtection="1">
      <alignment vertical="top" wrapText="1"/>
      <protection locked="0"/>
    </xf>
    <xf numFmtId="0" fontId="12" fillId="0" borderId="27" xfId="0" applyFont="1" applyFill="1" applyBorder="1" applyAlignment="1" applyProtection="1">
      <alignment vertical="top" wrapText="1"/>
      <protection locked="0"/>
    </xf>
    <xf numFmtId="0" fontId="12" fillId="0" borderId="26" xfId="0" applyFont="1" applyBorder="1" applyAlignment="1" applyProtection="1">
      <alignment vertical="top" wrapText="1"/>
      <protection locked="0"/>
    </xf>
    <xf numFmtId="0" fontId="27" fillId="0" borderId="29" xfId="0" applyFont="1" applyBorder="1" applyAlignment="1" applyProtection="1">
      <alignment vertical="top" wrapText="1"/>
      <protection locked="0"/>
    </xf>
    <xf numFmtId="0" fontId="27" fillId="0" borderId="26" xfId="0" applyFont="1" applyFill="1" applyBorder="1" applyAlignment="1" applyProtection="1">
      <alignment vertical="top" wrapText="1"/>
      <protection locked="0"/>
    </xf>
    <xf numFmtId="0" fontId="27" fillId="0" borderId="31" xfId="0" applyFont="1" applyFill="1" applyBorder="1" applyAlignment="1" applyProtection="1">
      <alignment vertical="top" wrapText="1"/>
      <protection locked="0"/>
    </xf>
    <xf numFmtId="0" fontId="12" fillId="0" borderId="31"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19" xfId="0" applyFont="1" applyBorder="1" applyAlignment="1" applyProtection="1">
      <alignment vertical="top" wrapText="1"/>
      <protection locked="0"/>
    </xf>
    <xf numFmtId="0" fontId="27" fillId="0" borderId="7" xfId="0" applyFont="1" applyBorder="1" applyAlignment="1" applyProtection="1">
      <alignment vertical="top" wrapText="1"/>
      <protection locked="0"/>
    </xf>
    <xf numFmtId="0" fontId="12" fillId="0" borderId="19" xfId="0" applyFont="1" applyFill="1" applyBorder="1" applyAlignment="1" applyProtection="1">
      <alignment vertical="top" wrapText="1"/>
      <protection locked="0"/>
    </xf>
    <xf numFmtId="0" fontId="12" fillId="0" borderId="46" xfId="0" applyFont="1" applyFill="1" applyBorder="1" applyAlignment="1" applyProtection="1">
      <alignment vertical="top" wrapText="1"/>
      <protection locked="0"/>
    </xf>
    <xf numFmtId="0" fontId="12" fillId="0" borderId="15" xfId="0" applyFont="1" applyFill="1" applyBorder="1" applyAlignment="1" applyProtection="1">
      <alignment vertical="top" wrapText="1"/>
      <protection locked="0"/>
    </xf>
    <xf numFmtId="0" fontId="12" fillId="3" borderId="16" xfId="0" applyFont="1" applyFill="1" applyBorder="1" applyAlignment="1" applyProtection="1">
      <alignment vertical="top" wrapText="1"/>
      <protection locked="0"/>
    </xf>
    <xf numFmtId="3" fontId="27" fillId="3" borderId="16" xfId="0" applyNumberFormat="1" applyFont="1" applyFill="1" applyBorder="1" applyAlignment="1" applyProtection="1">
      <alignment vertical="top"/>
      <protection locked="0"/>
    </xf>
    <xf numFmtId="0" fontId="12" fillId="4" borderId="6" xfId="0" applyFont="1" applyFill="1" applyBorder="1" applyAlignment="1" applyProtection="1">
      <alignment vertical="top" wrapText="1"/>
      <protection locked="0"/>
    </xf>
    <xf numFmtId="0" fontId="12" fillId="4" borderId="20" xfId="0" applyFont="1" applyFill="1" applyBorder="1" applyAlignment="1" applyProtection="1">
      <alignment vertical="top" wrapText="1"/>
      <protection locked="0"/>
    </xf>
    <xf numFmtId="3" fontId="12" fillId="3" borderId="47" xfId="0" applyNumberFormat="1" applyFont="1" applyFill="1" applyBorder="1" applyAlignment="1" applyProtection="1">
      <alignment vertical="top"/>
      <protection locked="0"/>
    </xf>
    <xf numFmtId="3" fontId="27" fillId="0" borderId="73" xfId="0" applyNumberFormat="1" applyFont="1" applyFill="1" applyBorder="1" applyAlignment="1" applyProtection="1">
      <alignment vertical="top"/>
    </xf>
    <xf numFmtId="9" fontId="12" fillId="0" borderId="62" xfId="1" applyFont="1" applyBorder="1" applyAlignment="1" applyProtection="1">
      <alignment vertical="top" wrapText="1"/>
    </xf>
    <xf numFmtId="9" fontId="12" fillId="0" borderId="17" xfId="1" applyFont="1" applyBorder="1" applyAlignment="1" applyProtection="1">
      <alignment vertical="top" wrapText="1"/>
    </xf>
    <xf numFmtId="164" fontId="12" fillId="0" borderId="36" xfId="1" applyNumberFormat="1" applyFont="1" applyFill="1" applyBorder="1" applyAlignment="1" applyProtection="1">
      <alignment vertical="top" wrapText="1"/>
    </xf>
    <xf numFmtId="164" fontId="27" fillId="0" borderId="47" xfId="1" applyNumberFormat="1" applyFont="1" applyFill="1" applyBorder="1" applyAlignment="1" applyProtection="1">
      <alignment vertical="top" wrapText="1"/>
      <protection locked="0"/>
    </xf>
    <xf numFmtId="3" fontId="12" fillId="0" borderId="16" xfId="0" applyNumberFormat="1" applyFont="1" applyFill="1" applyBorder="1" applyAlignment="1" applyProtection="1">
      <alignment vertical="top" wrapText="1"/>
      <protection locked="0"/>
    </xf>
    <xf numFmtId="9" fontId="12" fillId="0" borderId="43" xfId="0" applyNumberFormat="1" applyFont="1" applyFill="1" applyBorder="1" applyAlignment="1" applyProtection="1">
      <alignment horizontal="right" vertical="top"/>
      <protection locked="0"/>
    </xf>
    <xf numFmtId="3" fontId="12" fillId="3" borderId="16" xfId="0" applyNumberFormat="1" applyFont="1" applyFill="1" applyBorder="1" applyAlignment="1" applyProtection="1">
      <alignment vertical="top"/>
      <protection locked="0"/>
    </xf>
    <xf numFmtId="3" fontId="27" fillId="0" borderId="73" xfId="0" applyNumberFormat="1" applyFont="1" applyBorder="1" applyAlignment="1" applyProtection="1">
      <alignment vertical="top"/>
      <protection locked="0"/>
    </xf>
    <xf numFmtId="0" fontId="12" fillId="3" borderId="42" xfId="0" applyFont="1" applyFill="1" applyBorder="1" applyAlignment="1" applyProtection="1">
      <alignment vertical="top" wrapText="1"/>
      <protection locked="0"/>
    </xf>
    <xf numFmtId="3" fontId="27" fillId="3" borderId="42" xfId="0" applyNumberFormat="1" applyFont="1" applyFill="1" applyBorder="1" applyAlignment="1" applyProtection="1">
      <alignment vertical="top"/>
      <protection locked="0"/>
    </xf>
    <xf numFmtId="0" fontId="12" fillId="4" borderId="41" xfId="0" applyFont="1" applyFill="1" applyBorder="1" applyAlignment="1" applyProtection="1">
      <alignment vertical="top" wrapText="1"/>
      <protection locked="0"/>
    </xf>
    <xf numFmtId="0" fontId="12" fillId="4" borderId="36" xfId="0" applyFont="1" applyFill="1" applyBorder="1" applyAlignment="1" applyProtection="1">
      <alignment vertical="top" wrapText="1"/>
      <protection locked="0"/>
    </xf>
    <xf numFmtId="3" fontId="12" fillId="3" borderId="45" xfId="0" applyNumberFormat="1" applyFont="1" applyFill="1" applyBorder="1" applyAlignment="1" applyProtection="1">
      <alignment vertical="top"/>
      <protection locked="0"/>
    </xf>
    <xf numFmtId="3" fontId="27" fillId="0" borderId="74" xfId="0" applyNumberFormat="1" applyFont="1" applyFill="1" applyBorder="1" applyAlignment="1" applyProtection="1">
      <alignment vertical="top"/>
    </xf>
    <xf numFmtId="164" fontId="27" fillId="0" borderId="45" xfId="1" applyNumberFormat="1" applyFont="1" applyFill="1" applyBorder="1" applyAlignment="1" applyProtection="1">
      <alignment vertical="top" wrapText="1"/>
      <protection locked="0"/>
    </xf>
    <xf numFmtId="3" fontId="12" fillId="0" borderId="42" xfId="0" applyNumberFormat="1" applyFont="1" applyFill="1" applyBorder="1" applyAlignment="1" applyProtection="1">
      <alignment vertical="top" wrapText="1"/>
      <protection locked="0"/>
    </xf>
    <xf numFmtId="3" fontId="12" fillId="3" borderId="42" xfId="0" applyNumberFormat="1" applyFont="1" applyFill="1" applyBorder="1" applyAlignment="1" applyProtection="1">
      <alignment vertical="top"/>
      <protection locked="0"/>
    </xf>
    <xf numFmtId="3" fontId="27" fillId="0" borderId="74" xfId="0" applyNumberFormat="1" applyFont="1" applyBorder="1" applyAlignment="1" applyProtection="1">
      <alignment vertical="top"/>
      <protection locked="0"/>
    </xf>
    <xf numFmtId="0" fontId="12" fillId="3" borderId="79" xfId="0" applyFont="1" applyFill="1" applyBorder="1" applyAlignment="1" applyProtection="1">
      <alignment vertical="top" wrapText="1"/>
      <protection locked="0"/>
    </xf>
    <xf numFmtId="3" fontId="27" fillId="3" borderId="79" xfId="0" applyNumberFormat="1" applyFont="1" applyFill="1" applyBorder="1" applyAlignment="1" applyProtection="1">
      <alignment vertical="top"/>
      <protection locked="0"/>
    </xf>
    <xf numFmtId="0" fontId="12" fillId="4" borderId="80" xfId="0" applyFont="1" applyFill="1" applyBorder="1" applyAlignment="1" applyProtection="1">
      <alignment vertical="top" wrapText="1"/>
      <protection locked="0"/>
    </xf>
    <xf numFmtId="0" fontId="12" fillId="4" borderId="37" xfId="0" applyFont="1" applyFill="1" applyBorder="1" applyAlignment="1" applyProtection="1">
      <alignment vertical="top" wrapText="1"/>
      <protection locked="0"/>
    </xf>
    <xf numFmtId="3" fontId="12" fillId="3" borderId="44" xfId="0" applyNumberFormat="1" applyFont="1" applyFill="1" applyBorder="1" applyAlignment="1" applyProtection="1">
      <alignment vertical="top"/>
      <protection locked="0"/>
    </xf>
    <xf numFmtId="3" fontId="27" fillId="0" borderId="50" xfId="0" applyNumberFormat="1" applyFont="1" applyFill="1" applyBorder="1" applyAlignment="1" applyProtection="1">
      <alignment vertical="top"/>
    </xf>
    <xf numFmtId="164" fontId="27" fillId="0" borderId="44" xfId="1" applyNumberFormat="1" applyFont="1" applyFill="1" applyBorder="1" applyAlignment="1" applyProtection="1">
      <alignment vertical="top" wrapText="1"/>
      <protection locked="0"/>
    </xf>
    <xf numFmtId="3" fontId="12" fillId="0" borderId="79" xfId="0" applyNumberFormat="1" applyFont="1" applyFill="1" applyBorder="1" applyAlignment="1" applyProtection="1">
      <alignment vertical="top" wrapText="1"/>
      <protection locked="0"/>
    </xf>
    <xf numFmtId="9" fontId="12" fillId="0" borderId="30" xfId="0" applyNumberFormat="1" applyFont="1" applyFill="1" applyBorder="1" applyAlignment="1" applyProtection="1">
      <alignment horizontal="right" vertical="top"/>
      <protection locked="0"/>
    </xf>
    <xf numFmtId="3" fontId="12" fillId="3" borderId="79" xfId="0" applyNumberFormat="1" applyFont="1" applyFill="1" applyBorder="1" applyAlignment="1" applyProtection="1">
      <alignment vertical="top"/>
      <protection locked="0"/>
    </xf>
    <xf numFmtId="3" fontId="27" fillId="0" borderId="50" xfId="0" applyNumberFormat="1" applyFont="1" applyBorder="1" applyAlignment="1" applyProtection="1">
      <alignment vertical="top"/>
      <protection locked="0"/>
    </xf>
    <xf numFmtId="3" fontId="12" fillId="0" borderId="51" xfId="0" applyNumberFormat="1" applyFont="1" applyBorder="1" applyAlignment="1" applyProtection="1">
      <alignment vertical="top" wrapText="1"/>
      <protection locked="0"/>
    </xf>
    <xf numFmtId="0" fontId="12" fillId="3" borderId="78" xfId="0" applyFont="1" applyFill="1" applyBorder="1" applyAlignment="1" applyProtection="1">
      <alignment vertical="top" wrapText="1"/>
      <protection locked="0"/>
    </xf>
    <xf numFmtId="3" fontId="27" fillId="3" borderId="78" xfId="0" applyNumberFormat="1" applyFont="1" applyFill="1" applyBorder="1" applyAlignment="1" applyProtection="1">
      <alignment vertical="top"/>
      <protection locked="0"/>
    </xf>
    <xf numFmtId="0" fontId="12" fillId="4" borderId="71" xfId="0" applyFont="1" applyFill="1" applyBorder="1" applyAlignment="1" applyProtection="1">
      <alignment vertical="top" wrapText="1"/>
      <protection locked="0"/>
    </xf>
    <xf numFmtId="0" fontId="12" fillId="4" borderId="66" xfId="0" applyFont="1" applyFill="1" applyBorder="1" applyAlignment="1" applyProtection="1">
      <alignment vertical="top" wrapText="1"/>
      <protection locked="0"/>
    </xf>
    <xf numFmtId="3" fontId="12" fillId="3" borderId="65" xfId="0" applyNumberFormat="1" applyFont="1" applyFill="1" applyBorder="1" applyAlignment="1" applyProtection="1">
      <alignment vertical="top"/>
      <protection locked="0"/>
    </xf>
    <xf numFmtId="3" fontId="27" fillId="0" borderId="81" xfId="0" applyNumberFormat="1" applyFont="1" applyFill="1" applyBorder="1" applyAlignment="1" applyProtection="1">
      <alignment vertical="top"/>
    </xf>
    <xf numFmtId="164" fontId="12" fillId="0" borderId="66" xfId="1" applyNumberFormat="1" applyFont="1" applyFill="1" applyBorder="1" applyAlignment="1" applyProtection="1">
      <alignment vertical="top" wrapText="1"/>
    </xf>
    <xf numFmtId="3" fontId="12" fillId="0" borderId="78" xfId="0" applyNumberFormat="1" applyFont="1" applyFill="1" applyBorder="1" applyAlignment="1" applyProtection="1">
      <alignment vertical="top" wrapText="1"/>
      <protection locked="0"/>
    </xf>
    <xf numFmtId="9" fontId="12" fillId="0" borderId="65" xfId="0" applyNumberFormat="1" applyFont="1" applyFill="1" applyBorder="1" applyAlignment="1" applyProtection="1">
      <alignment horizontal="right" vertical="top"/>
      <protection locked="0"/>
    </xf>
    <xf numFmtId="3" fontId="12" fillId="3" borderId="78" xfId="0" applyNumberFormat="1" applyFont="1" applyFill="1" applyBorder="1" applyAlignment="1" applyProtection="1">
      <alignment vertical="top"/>
      <protection locked="0"/>
    </xf>
    <xf numFmtId="0" fontId="12" fillId="0" borderId="71" xfId="0" applyFont="1" applyBorder="1" applyAlignment="1" applyProtection="1">
      <alignment vertical="top"/>
      <protection locked="0"/>
    </xf>
    <xf numFmtId="0" fontId="27" fillId="0" borderId="35" xfId="0" applyFont="1" applyBorder="1" applyAlignment="1" applyProtection="1">
      <alignment vertical="top"/>
      <protection locked="0"/>
    </xf>
    <xf numFmtId="0" fontId="12" fillId="0" borderId="35" xfId="0" applyFont="1" applyBorder="1" applyAlignment="1" applyProtection="1">
      <alignment vertical="top"/>
      <protection locked="0"/>
    </xf>
    <xf numFmtId="3" fontId="27" fillId="0" borderId="76" xfId="0" applyNumberFormat="1" applyFont="1" applyBorder="1" applyAlignment="1" applyProtection="1">
      <alignment vertical="top"/>
      <protection locked="0"/>
    </xf>
    <xf numFmtId="0" fontId="27" fillId="0" borderId="77" xfId="0" applyFont="1" applyBorder="1" applyAlignment="1" applyProtection="1">
      <alignment vertical="top"/>
      <protection locked="0"/>
    </xf>
    <xf numFmtId="3" fontId="27" fillId="0" borderId="67" xfId="0" applyNumberFormat="1" applyFont="1" applyBorder="1" applyAlignment="1" applyProtection="1">
      <alignment vertical="top"/>
      <protection locked="0"/>
    </xf>
    <xf numFmtId="0" fontId="29" fillId="0" borderId="4" xfId="0" applyFont="1" applyBorder="1" applyAlignment="1" applyProtection="1">
      <alignment horizontal="right" vertical="top"/>
      <protection locked="0"/>
    </xf>
    <xf numFmtId="0" fontId="12" fillId="0" borderId="4" xfId="0" applyFont="1" applyBorder="1" applyAlignment="1" applyProtection="1">
      <alignment vertical="top"/>
      <protection locked="0"/>
    </xf>
    <xf numFmtId="3" fontId="27" fillId="0" borderId="4" xfId="0" applyNumberFormat="1" applyFont="1" applyBorder="1" applyAlignment="1" applyProtection="1">
      <alignment vertical="top"/>
      <protection locked="0"/>
    </xf>
    <xf numFmtId="3" fontId="27" fillId="0" borderId="0" xfId="0" applyNumberFormat="1" applyFont="1" applyBorder="1" applyAlignment="1" applyProtection="1">
      <alignment vertical="top"/>
      <protection locked="0"/>
    </xf>
    <xf numFmtId="0" fontId="12" fillId="0" borderId="0" xfId="0" applyFont="1" applyBorder="1" applyAlignment="1" applyProtection="1">
      <alignment vertical="top" wrapText="1"/>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30" fillId="5" borderId="52" xfId="4" applyFont="1" applyFill="1" applyBorder="1" applyAlignment="1" applyProtection="1">
      <alignment vertical="center" wrapText="1"/>
      <protection locked="0"/>
    </xf>
    <xf numFmtId="0" fontId="9" fillId="5" borderId="89" xfId="4" applyFont="1" applyFill="1" applyBorder="1" applyAlignment="1" applyProtection="1">
      <alignment horizontal="center" vertical="center" wrapText="1"/>
      <protection locked="0"/>
    </xf>
    <xf numFmtId="49" fontId="30" fillId="2" borderId="15" xfId="4" applyNumberFormat="1" applyFont="1" applyFill="1" applyBorder="1" applyAlignment="1" applyProtection="1">
      <alignment horizontal="center" vertical="center" wrapText="1"/>
      <protection locked="0"/>
    </xf>
    <xf numFmtId="49" fontId="30" fillId="2" borderId="46" xfId="4" applyNumberFormat="1" applyFont="1" applyFill="1" applyBorder="1" applyAlignment="1" applyProtection="1">
      <alignment horizontal="center" vertical="center" wrapText="1"/>
      <protection locked="0"/>
    </xf>
    <xf numFmtId="49" fontId="30" fillId="2" borderId="82" xfId="4" applyNumberFormat="1" applyFont="1" applyFill="1" applyBorder="1" applyAlignment="1" applyProtection="1">
      <alignment horizontal="center" vertical="center" wrapText="1"/>
      <protection locked="0"/>
    </xf>
    <xf numFmtId="49" fontId="30" fillId="2" borderId="90" xfId="4" applyNumberFormat="1" applyFont="1" applyFill="1" applyBorder="1" applyAlignment="1" applyProtection="1">
      <alignment horizontal="center" vertical="center" wrapText="1"/>
      <protection locked="0"/>
    </xf>
    <xf numFmtId="0" fontId="31" fillId="0" borderId="0" xfId="4" applyFont="1" applyProtection="1">
      <protection locked="0"/>
    </xf>
    <xf numFmtId="0" fontId="31" fillId="0" borderId="0" xfId="4" applyFont="1" applyAlignment="1" applyProtection="1">
      <alignment wrapText="1"/>
      <protection locked="0"/>
    </xf>
    <xf numFmtId="0" fontId="32" fillId="3" borderId="51" xfId="4" applyFont="1" applyFill="1" applyBorder="1" applyAlignment="1" applyProtection="1">
      <alignment vertical="top" wrapText="1"/>
      <protection locked="0"/>
    </xf>
    <xf numFmtId="0" fontId="32" fillId="3" borderId="51" xfId="4" applyFont="1" applyFill="1" applyBorder="1" applyAlignment="1" applyProtection="1">
      <alignment horizontal="left" vertical="top" wrapText="1"/>
      <protection locked="0"/>
    </xf>
    <xf numFmtId="0" fontId="32" fillId="3" borderId="61" xfId="4" applyFont="1" applyFill="1" applyBorder="1" applyAlignment="1" applyProtection="1">
      <alignment vertical="top" wrapText="1"/>
      <protection locked="0"/>
    </xf>
    <xf numFmtId="4" fontId="32" fillId="3" borderId="34" xfId="4" applyNumberFormat="1" applyFont="1" applyFill="1" applyBorder="1" applyAlignment="1" applyProtection="1">
      <alignment vertical="top" wrapText="1"/>
      <protection locked="0"/>
    </xf>
    <xf numFmtId="4" fontId="32" fillId="3" borderId="30" xfId="4" applyNumberFormat="1" applyFont="1" applyFill="1" applyBorder="1" applyAlignment="1" applyProtection="1">
      <alignment vertical="top" wrapText="1"/>
      <protection locked="0"/>
    </xf>
    <xf numFmtId="4" fontId="32" fillId="3" borderId="91" xfId="4" applyNumberFormat="1" applyFont="1" applyFill="1" applyBorder="1" applyAlignment="1" applyProtection="1">
      <alignment vertical="top" wrapText="1"/>
      <protection locked="0"/>
    </xf>
    <xf numFmtId="4" fontId="32" fillId="3" borderId="11" xfId="4" applyNumberFormat="1" applyFont="1" applyFill="1" applyBorder="1" applyAlignment="1" applyProtection="1">
      <alignment vertical="top" wrapText="1"/>
      <protection locked="0"/>
    </xf>
    <xf numFmtId="0" fontId="31" fillId="0" borderId="0" xfId="4" applyFont="1" applyFill="1" applyProtection="1">
      <protection locked="0"/>
    </xf>
    <xf numFmtId="0" fontId="31" fillId="0" borderId="0" xfId="4" applyFont="1" applyFill="1" applyAlignment="1" applyProtection="1">
      <alignment wrapText="1"/>
      <protection locked="0"/>
    </xf>
    <xf numFmtId="0" fontId="32" fillId="3" borderId="52" xfId="4" applyFont="1" applyFill="1" applyBorder="1" applyAlignment="1" applyProtection="1">
      <alignment vertical="top" wrapText="1"/>
      <protection locked="0"/>
    </xf>
    <xf numFmtId="3" fontId="32" fillId="3" borderId="90" xfId="4" applyNumberFormat="1" applyFont="1" applyFill="1" applyBorder="1" applyAlignment="1" applyProtection="1">
      <alignment vertical="top" wrapText="1"/>
      <protection locked="0"/>
    </xf>
    <xf numFmtId="3" fontId="32" fillId="3" borderId="82" xfId="4" applyNumberFormat="1" applyFont="1" applyFill="1" applyBorder="1" applyAlignment="1" applyProtection="1">
      <alignment vertical="top" wrapText="1"/>
      <protection locked="0"/>
    </xf>
    <xf numFmtId="3" fontId="32" fillId="3" borderId="46" xfId="4" applyNumberFormat="1" applyFont="1" applyFill="1" applyBorder="1" applyAlignment="1" applyProtection="1">
      <alignment vertical="top" wrapText="1"/>
      <protection locked="0"/>
    </xf>
    <xf numFmtId="3" fontId="32" fillId="3" borderId="15" xfId="4" applyNumberFormat="1" applyFont="1" applyFill="1" applyBorder="1" applyAlignment="1" applyProtection="1">
      <alignment vertical="top" wrapText="1"/>
      <protection locked="0"/>
    </xf>
    <xf numFmtId="0" fontId="27" fillId="0" borderId="27" xfId="0" applyFont="1" applyBorder="1" applyAlignment="1" applyProtection="1">
      <alignment horizontal="left" vertical="top" wrapText="1"/>
      <protection locked="0"/>
    </xf>
    <xf numFmtId="0" fontId="18" fillId="2" borderId="0" xfId="0" applyFont="1" applyFill="1" applyAlignment="1" applyProtection="1">
      <alignment horizontal="left" vertical="center"/>
      <protection locked="0"/>
    </xf>
    <xf numFmtId="0" fontId="9" fillId="2" borderId="0" xfId="0"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0" fontId="10" fillId="0" borderId="0" xfId="0" applyFont="1" applyFill="1" applyAlignment="1" applyProtection="1">
      <alignment vertical="center"/>
      <protection locked="0"/>
    </xf>
    <xf numFmtId="0" fontId="12" fillId="0" borderId="0" xfId="3" applyFont="1" applyFill="1" applyAlignment="1" applyProtection="1">
      <alignment horizontal="left" vertical="center"/>
      <protection locked="0"/>
    </xf>
    <xf numFmtId="0" fontId="10" fillId="3" borderId="0" xfId="0" applyFont="1" applyFill="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Border="1" applyProtection="1">
      <protection locked="0"/>
    </xf>
    <xf numFmtId="0" fontId="10" fillId="0" borderId="0" xfId="0" applyFont="1" applyAlignment="1" applyProtection="1">
      <alignment vertical="top"/>
      <protection locked="0"/>
    </xf>
    <xf numFmtId="0" fontId="12" fillId="0" borderId="1" xfId="0" applyFont="1" applyBorder="1" applyAlignment="1" applyProtection="1">
      <alignment vertical="top" wrapText="1"/>
      <protection locked="0"/>
    </xf>
    <xf numFmtId="0" fontId="12" fillId="0" borderId="9" xfId="0" applyFont="1" applyBorder="1" applyAlignment="1" applyProtection="1">
      <alignment vertical="top" wrapText="1"/>
      <protection locked="0"/>
    </xf>
    <xf numFmtId="0" fontId="27" fillId="3" borderId="1" xfId="0" applyFont="1" applyFill="1" applyBorder="1" applyAlignment="1" applyProtection="1">
      <alignment horizontal="left" vertical="top" wrapText="1"/>
      <protection locked="0"/>
    </xf>
    <xf numFmtId="0" fontId="27" fillId="3" borderId="9" xfId="0" applyFont="1" applyFill="1" applyBorder="1" applyAlignment="1" applyProtection="1">
      <alignment horizontal="left" vertical="top" wrapText="1"/>
      <protection locked="0"/>
    </xf>
    <xf numFmtId="0" fontId="27" fillId="0" borderId="9" xfId="0" applyFont="1" applyBorder="1" applyAlignment="1" applyProtection="1">
      <alignment vertical="center"/>
      <protection locked="0"/>
    </xf>
    <xf numFmtId="0" fontId="9" fillId="0" borderId="52" xfId="0" applyFont="1" applyBorder="1" applyAlignment="1" applyProtection="1">
      <alignment vertical="center" wrapText="1"/>
      <protection locked="0"/>
    </xf>
    <xf numFmtId="0" fontId="27" fillId="0" borderId="1" xfId="0" applyFont="1" applyBorder="1" applyAlignment="1" applyProtection="1">
      <alignment vertical="top" wrapText="1"/>
      <protection locked="0"/>
    </xf>
    <xf numFmtId="0" fontId="27" fillId="0" borderId="8" xfId="0" applyFont="1" applyBorder="1" applyAlignment="1" applyProtection="1">
      <alignment vertical="top" wrapText="1"/>
      <protection locked="0"/>
    </xf>
    <xf numFmtId="0" fontId="12" fillId="3" borderId="0" xfId="0" applyFont="1" applyFill="1" applyAlignment="1" applyProtection="1">
      <alignment horizontal="left" vertical="center"/>
      <protection locked="0"/>
    </xf>
    <xf numFmtId="0" fontId="12" fillId="0" borderId="7" xfId="0" applyFont="1" applyFill="1" applyBorder="1" applyAlignment="1" applyProtection="1">
      <alignment horizontal="left" vertical="center" indent="1"/>
      <protection locked="0"/>
    </xf>
    <xf numFmtId="3" fontId="12" fillId="3" borderId="0" xfId="0" applyNumberFormat="1" applyFont="1" applyFill="1" applyAlignment="1" applyProtection="1">
      <alignment vertical="top"/>
      <protection locked="0"/>
    </xf>
    <xf numFmtId="3" fontId="12" fillId="3" borderId="7" xfId="0" applyNumberFormat="1" applyFont="1" applyFill="1" applyBorder="1" applyAlignment="1" applyProtection="1">
      <alignment vertical="top"/>
      <protection locked="0"/>
    </xf>
    <xf numFmtId="3" fontId="12" fillId="0" borderId="7" xfId="0" applyNumberFormat="1" applyFont="1" applyFill="1" applyBorder="1" applyAlignment="1" applyProtection="1">
      <alignment vertical="top"/>
      <protection locked="0"/>
    </xf>
    <xf numFmtId="0" fontId="10" fillId="0" borderId="61" xfId="0" applyFont="1" applyBorder="1" applyAlignment="1" applyProtection="1">
      <alignment vertical="top"/>
      <protection locked="0"/>
    </xf>
    <xf numFmtId="0" fontId="27" fillId="3" borderId="0" xfId="0" applyFont="1" applyFill="1" applyAlignment="1" applyProtection="1">
      <alignment horizontal="left" vertical="center"/>
      <protection locked="0"/>
    </xf>
    <xf numFmtId="0" fontId="27" fillId="0" borderId="7" xfId="0" applyFont="1" applyBorder="1" applyAlignment="1" applyProtection="1">
      <alignment vertical="top"/>
      <protection locked="0"/>
    </xf>
    <xf numFmtId="3" fontId="12" fillId="3" borderId="0" xfId="0" applyNumberFormat="1" applyFont="1" applyFill="1" applyBorder="1" applyAlignment="1" applyProtection="1">
      <alignment vertical="top"/>
      <protection locked="0"/>
    </xf>
    <xf numFmtId="0" fontId="12" fillId="0" borderId="7" xfId="0" applyFont="1" applyBorder="1" applyAlignment="1" applyProtection="1">
      <alignment horizontal="left" vertical="center" indent="1"/>
      <protection locked="0"/>
    </xf>
    <xf numFmtId="3" fontId="12" fillId="0" borderId="0" xfId="0" applyNumberFormat="1" applyFont="1" applyAlignment="1" applyProtection="1">
      <alignment vertical="top"/>
      <protection locked="0"/>
    </xf>
    <xf numFmtId="3" fontId="12" fillId="0" borderId="7" xfId="0" applyNumberFormat="1" applyFont="1" applyBorder="1" applyAlignment="1" applyProtection="1">
      <alignment vertical="top"/>
      <protection locked="0"/>
    </xf>
    <xf numFmtId="0" fontId="12" fillId="3" borderId="7" xfId="0" applyFont="1" applyFill="1" applyBorder="1" applyAlignment="1" applyProtection="1">
      <alignment horizontal="left" vertical="center" indent="1"/>
      <protection locked="0"/>
    </xf>
    <xf numFmtId="0" fontId="9" fillId="0" borderId="9" xfId="0" applyFont="1" applyBorder="1" applyAlignment="1" applyProtection="1">
      <alignment vertical="top" wrapText="1"/>
      <protection locked="0"/>
    </xf>
    <xf numFmtId="9" fontId="10" fillId="0" borderId="0" xfId="1" applyFont="1" applyAlignment="1" applyProtection="1">
      <alignment vertical="top"/>
      <protection locked="0"/>
    </xf>
    <xf numFmtId="0" fontId="9" fillId="3" borderId="7" xfId="0" applyFont="1" applyFill="1" applyBorder="1" applyAlignment="1" applyProtection="1">
      <alignment vertical="top"/>
      <protection locked="0"/>
    </xf>
    <xf numFmtId="0" fontId="12" fillId="0" borderId="0" xfId="0" applyFont="1" applyAlignment="1" applyProtection="1">
      <alignment horizontal="left" vertical="center" indent="1"/>
      <protection locked="0"/>
    </xf>
    <xf numFmtId="3" fontId="12" fillId="0" borderId="4" xfId="0" applyNumberFormat="1" applyFont="1" applyBorder="1" applyAlignment="1" applyProtection="1">
      <alignment vertical="top"/>
      <protection locked="0"/>
    </xf>
    <xf numFmtId="3" fontId="12" fillId="0" borderId="10" xfId="0" applyNumberFormat="1" applyFont="1" applyFill="1" applyBorder="1" applyAlignment="1" applyProtection="1">
      <alignment vertical="top"/>
      <protection locked="0"/>
    </xf>
    <xf numFmtId="3" fontId="12" fillId="0" borderId="0" xfId="0" applyNumberFormat="1" applyFont="1" applyBorder="1" applyAlignment="1" applyProtection="1">
      <alignment vertical="top"/>
      <protection locked="0"/>
    </xf>
    <xf numFmtId="0" fontId="10" fillId="0" borderId="0" xfId="0" applyFont="1" applyAlignment="1" applyProtection="1">
      <alignment horizontal="left" vertical="center" indent="1"/>
      <protection locked="0"/>
    </xf>
    <xf numFmtId="0" fontId="9" fillId="0" borderId="1" xfId="0" applyFont="1" applyBorder="1" applyProtection="1">
      <protection locked="0"/>
    </xf>
    <xf numFmtId="0" fontId="10" fillId="0" borderId="1" xfId="0" applyFont="1" applyBorder="1" applyProtection="1">
      <protection locked="0"/>
    </xf>
    <xf numFmtId="9" fontId="10" fillId="3" borderId="7" xfId="0" quotePrefix="1" applyNumberFormat="1" applyFont="1" applyFill="1" applyBorder="1" applyAlignment="1" applyProtection="1">
      <alignment horizontal="right"/>
      <protection locked="0"/>
    </xf>
    <xf numFmtId="3" fontId="10" fillId="0" borderId="0" xfId="0" applyNumberFormat="1" applyFont="1" applyProtection="1">
      <protection locked="0"/>
    </xf>
    <xf numFmtId="0" fontId="10" fillId="0" borderId="3" xfId="0" applyFont="1" applyBorder="1" applyProtection="1">
      <protection locked="0"/>
    </xf>
    <xf numFmtId="0" fontId="10" fillId="0" borderId="28" xfId="0" applyFont="1" applyBorder="1" applyProtection="1">
      <protection locked="0"/>
    </xf>
    <xf numFmtId="3" fontId="9" fillId="0" borderId="3" xfId="0" applyNumberFormat="1" applyFont="1" applyBorder="1" applyProtection="1">
      <protection locked="0"/>
    </xf>
    <xf numFmtId="0" fontId="12" fillId="0" borderId="5" xfId="0" applyFont="1" applyBorder="1" applyProtection="1">
      <protection locked="0"/>
    </xf>
    <xf numFmtId="3" fontId="12" fillId="0" borderId="5" xfId="0" applyNumberFormat="1" applyFont="1" applyBorder="1" applyProtection="1">
      <protection locked="0"/>
    </xf>
    <xf numFmtId="0" fontId="34" fillId="0" borderId="0" xfId="3" applyFont="1" applyFill="1" applyAlignment="1" applyProtection="1">
      <alignment horizontal="left" vertical="center"/>
      <protection locked="0"/>
    </xf>
    <xf numFmtId="0" fontId="10" fillId="0" borderId="0" xfId="0" applyFont="1" applyFill="1" applyAlignment="1" applyProtection="1">
      <alignment horizontal="left" vertical="center"/>
      <protection locked="0"/>
    </xf>
    <xf numFmtId="0" fontId="9" fillId="3" borderId="0" xfId="0" applyFont="1" applyFill="1" applyBorder="1" applyAlignment="1" applyProtection="1">
      <alignment vertical="top"/>
      <protection locked="0"/>
    </xf>
    <xf numFmtId="0" fontId="27" fillId="4" borderId="0" xfId="0" applyFont="1" applyFill="1" applyBorder="1" applyAlignment="1" applyProtection="1">
      <alignment vertical="top"/>
      <protection locked="0"/>
    </xf>
    <xf numFmtId="0" fontId="10" fillId="0" borderId="0" xfId="0" applyFont="1" applyFill="1" applyAlignment="1" applyProtection="1">
      <alignment vertical="top"/>
      <protection locked="0"/>
    </xf>
    <xf numFmtId="0" fontId="10" fillId="0" borderId="0" xfId="0" applyFont="1" applyFill="1" applyProtection="1">
      <protection locked="0"/>
    </xf>
    <xf numFmtId="0" fontId="27" fillId="0" borderId="15" xfId="0" applyFont="1" applyFill="1" applyBorder="1" applyAlignment="1" applyProtection="1">
      <alignment horizontal="right" vertical="center" wrapText="1"/>
      <protection locked="0"/>
    </xf>
    <xf numFmtId="0" fontId="27" fillId="0" borderId="46" xfId="0" applyFont="1" applyFill="1" applyBorder="1" applyAlignment="1" applyProtection="1">
      <alignment horizontal="right" vertical="center" wrapText="1"/>
      <protection locked="0"/>
    </xf>
    <xf numFmtId="0" fontId="27" fillId="0" borderId="0" xfId="0" applyFont="1" applyBorder="1" applyProtection="1">
      <protection locked="0"/>
    </xf>
    <xf numFmtId="0" fontId="12" fillId="0" borderId="0" xfId="0" applyFont="1" applyBorder="1" applyAlignment="1" applyProtection="1">
      <alignment horizontal="left" vertical="center" indent="1"/>
      <protection locked="0"/>
    </xf>
    <xf numFmtId="0" fontId="12" fillId="0" borderId="0" xfId="0" applyFont="1" applyBorder="1" applyProtection="1">
      <protection locked="0"/>
    </xf>
    <xf numFmtId="3" fontId="27" fillId="3" borderId="11" xfId="0" applyNumberFormat="1" applyFont="1" applyFill="1" applyBorder="1" applyAlignment="1" applyProtection="1">
      <alignment vertical="top"/>
      <protection locked="0"/>
    </xf>
    <xf numFmtId="3" fontId="27" fillId="3" borderId="21" xfId="0" applyNumberFormat="1" applyFont="1" applyFill="1" applyBorder="1" applyAlignment="1" applyProtection="1">
      <alignment vertical="top"/>
      <protection locked="0"/>
    </xf>
    <xf numFmtId="3" fontId="27" fillId="3" borderId="30" xfId="0" applyNumberFormat="1" applyFont="1" applyFill="1" applyBorder="1" applyAlignment="1" applyProtection="1">
      <alignment vertical="top"/>
      <protection locked="0"/>
    </xf>
    <xf numFmtId="0" fontId="12" fillId="0" borderId="1" xfId="0" applyFont="1" applyBorder="1" applyProtection="1">
      <protection locked="0"/>
    </xf>
    <xf numFmtId="0" fontId="12" fillId="0" borderId="1" xfId="0" applyFont="1" applyBorder="1" applyAlignment="1" applyProtection="1">
      <alignment horizontal="left" vertical="center" indent="1"/>
      <protection locked="0"/>
    </xf>
    <xf numFmtId="3" fontId="12" fillId="0" borderId="26" xfId="0" applyNumberFormat="1" applyFont="1" applyFill="1" applyBorder="1" applyAlignment="1" applyProtection="1">
      <alignment vertical="top"/>
      <protection locked="0"/>
    </xf>
    <xf numFmtId="3" fontId="12" fillId="0" borderId="27" xfId="0" applyNumberFormat="1" applyFont="1" applyFill="1" applyBorder="1" applyAlignment="1" applyProtection="1">
      <alignment vertical="top"/>
      <protection locked="0"/>
    </xf>
    <xf numFmtId="3" fontId="12" fillId="0" borderId="31" xfId="0" applyNumberFormat="1" applyFont="1" applyFill="1" applyBorder="1" applyAlignment="1" applyProtection="1">
      <alignment vertical="top"/>
      <protection locked="0"/>
    </xf>
    <xf numFmtId="3" fontId="12" fillId="0" borderId="11" xfId="0" applyNumberFormat="1" applyFont="1" applyBorder="1" applyAlignment="1" applyProtection="1">
      <alignment vertical="top"/>
      <protection locked="0"/>
    </xf>
    <xf numFmtId="3" fontId="12" fillId="0" borderId="21" xfId="0" applyNumberFormat="1" applyFont="1" applyBorder="1" applyAlignment="1" applyProtection="1">
      <alignment vertical="top"/>
      <protection locked="0"/>
    </xf>
    <xf numFmtId="3" fontId="12" fillId="0" borderId="30" xfId="0" applyNumberFormat="1" applyFont="1" applyBorder="1" applyAlignment="1" applyProtection="1">
      <alignment vertical="top"/>
      <protection locked="0"/>
    </xf>
    <xf numFmtId="3" fontId="12" fillId="3" borderId="11" xfId="0" applyNumberFormat="1" applyFont="1" applyFill="1" applyBorder="1" applyAlignment="1" applyProtection="1">
      <alignment vertical="top"/>
      <protection locked="0"/>
    </xf>
    <xf numFmtId="3" fontId="12" fillId="3" borderId="21" xfId="0" applyNumberFormat="1" applyFont="1" applyFill="1" applyBorder="1" applyAlignment="1" applyProtection="1">
      <alignment vertical="top"/>
      <protection locked="0"/>
    </xf>
    <xf numFmtId="3" fontId="12" fillId="3" borderId="40" xfId="0" applyNumberFormat="1" applyFont="1" applyFill="1" applyBorder="1" applyAlignment="1" applyProtection="1">
      <alignment vertical="top"/>
      <protection locked="0"/>
    </xf>
    <xf numFmtId="3" fontId="12" fillId="3" borderId="30" xfId="0" applyNumberFormat="1" applyFont="1" applyFill="1" applyBorder="1" applyAlignment="1" applyProtection="1">
      <alignment vertical="top"/>
      <protection locked="0"/>
    </xf>
    <xf numFmtId="3" fontId="27" fillId="0" borderId="11" xfId="0" applyNumberFormat="1" applyFont="1" applyFill="1" applyBorder="1" applyAlignment="1" applyProtection="1">
      <alignment vertical="top"/>
      <protection locked="0"/>
    </xf>
    <xf numFmtId="3" fontId="27" fillId="0" borderId="21" xfId="0" applyNumberFormat="1" applyFont="1" applyFill="1" applyBorder="1" applyAlignment="1" applyProtection="1">
      <alignment vertical="top"/>
      <protection locked="0"/>
    </xf>
    <xf numFmtId="3" fontId="27" fillId="0" borderId="30" xfId="0" applyNumberFormat="1" applyFont="1" applyFill="1" applyBorder="1" applyAlignment="1" applyProtection="1">
      <alignment vertical="top"/>
      <protection locked="0"/>
    </xf>
    <xf numFmtId="0" fontId="12" fillId="0" borderId="0" xfId="0" applyFont="1" applyBorder="1" applyAlignment="1" applyProtection="1">
      <alignment horizontal="left" indent="1"/>
      <protection locked="0"/>
    </xf>
    <xf numFmtId="3" fontId="12" fillId="0" borderId="11" xfId="0" applyNumberFormat="1" applyFont="1" applyBorder="1" applyProtection="1">
      <protection locked="0"/>
    </xf>
    <xf numFmtId="3" fontId="12" fillId="0" borderId="21" xfId="0" applyNumberFormat="1" applyFont="1" applyBorder="1" applyProtection="1">
      <protection locked="0"/>
    </xf>
    <xf numFmtId="3" fontId="12" fillId="0" borderId="30" xfId="0" applyNumberFormat="1" applyFont="1" applyBorder="1" applyProtection="1">
      <protection locked="0"/>
    </xf>
    <xf numFmtId="0" fontId="12" fillId="0" borderId="0" xfId="0" applyFont="1" applyAlignment="1" applyProtection="1">
      <alignment horizontal="left" indent="1"/>
      <protection locked="0"/>
    </xf>
    <xf numFmtId="3" fontId="12" fillId="0" borderId="40" xfId="0" applyNumberFormat="1" applyFont="1" applyBorder="1" applyProtection="1">
      <protection locked="0"/>
    </xf>
    <xf numFmtId="0" fontId="33" fillId="0" borderId="1" xfId="0" applyFont="1" applyBorder="1" applyAlignment="1" applyProtection="1">
      <alignment horizontal="left"/>
      <protection locked="0"/>
    </xf>
    <xf numFmtId="0" fontId="11" fillId="0" borderId="1" xfId="0" applyFont="1" applyBorder="1" applyProtection="1">
      <protection locked="0"/>
    </xf>
    <xf numFmtId="9" fontId="11" fillId="0" borderId="26" xfId="1" applyFont="1" applyBorder="1" applyAlignment="1" applyProtection="1">
      <alignment horizontal="right"/>
      <protection locked="0"/>
    </xf>
    <xf numFmtId="9" fontId="11" fillId="0" borderId="27" xfId="1" applyFont="1" applyBorder="1" applyAlignment="1" applyProtection="1">
      <alignment horizontal="right"/>
      <protection locked="0"/>
    </xf>
    <xf numFmtId="9" fontId="11" fillId="0" borderId="31" xfId="1" applyFont="1" applyBorder="1" applyAlignment="1" applyProtection="1">
      <alignment horizontal="right"/>
      <protection locked="0"/>
    </xf>
    <xf numFmtId="3" fontId="27" fillId="0" borderId="11" xfId="0" applyNumberFormat="1" applyFont="1" applyBorder="1" applyProtection="1">
      <protection locked="0"/>
    </xf>
    <xf numFmtId="3" fontId="27" fillId="0" borderId="21" xfId="0" applyNumberFormat="1" applyFont="1" applyBorder="1" applyProtection="1">
      <protection locked="0"/>
    </xf>
    <xf numFmtId="3" fontId="27" fillId="0" borderId="30" xfId="0" applyNumberFormat="1" applyFont="1" applyBorder="1" applyProtection="1">
      <protection locked="0"/>
    </xf>
    <xf numFmtId="0" fontId="12" fillId="0" borderId="35" xfId="0" applyFont="1" applyBorder="1" applyAlignment="1" applyProtection="1">
      <alignment horizontal="left" vertical="center"/>
      <protection locked="0"/>
    </xf>
    <xf numFmtId="0" fontId="12" fillId="0" borderId="35" xfId="0" applyFont="1" applyBorder="1" applyAlignment="1" applyProtection="1">
      <alignment horizontal="left" vertical="center" indent="1"/>
      <protection locked="0"/>
    </xf>
    <xf numFmtId="0" fontId="12" fillId="0" borderId="35" xfId="0" applyFont="1" applyBorder="1" applyProtection="1">
      <protection locked="0"/>
    </xf>
    <xf numFmtId="3" fontId="12" fillId="0" borderId="75" xfId="0" applyNumberFormat="1" applyFont="1" applyBorder="1" applyProtection="1">
      <protection locked="0"/>
    </xf>
    <xf numFmtId="3" fontId="12" fillId="0" borderId="67" xfId="0" applyNumberFormat="1" applyFont="1" applyBorder="1" applyProtection="1">
      <protection locked="0"/>
    </xf>
    <xf numFmtId="3" fontId="12" fillId="0" borderId="76" xfId="0" applyNumberFormat="1" applyFont="1" applyBorder="1" applyProtection="1">
      <protection locked="0"/>
    </xf>
    <xf numFmtId="9" fontId="12" fillId="0" borderId="0" xfId="1" applyFont="1" applyProtection="1">
      <protection locked="0"/>
    </xf>
    <xf numFmtId="3" fontId="12" fillId="0" borderId="0" xfId="0" applyNumberFormat="1" applyFont="1" applyProtection="1">
      <protection locked="0"/>
    </xf>
    <xf numFmtId="3" fontId="27" fillId="0" borderId="5" xfId="0" applyNumberFormat="1" applyFont="1" applyBorder="1" applyAlignment="1" applyProtection="1">
      <alignment horizontal="left" vertical="center"/>
      <protection locked="0"/>
    </xf>
    <xf numFmtId="164" fontId="12" fillId="0" borderId="6" xfId="1" applyNumberFormat="1"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3" fontId="12" fillId="0" borderId="22" xfId="0" applyNumberFormat="1" applyFont="1" applyBorder="1" applyAlignment="1" applyProtection="1">
      <alignment horizontal="right" vertical="center" wrapText="1"/>
      <protection locked="0"/>
    </xf>
    <xf numFmtId="3" fontId="12" fillId="0" borderId="20" xfId="0" applyNumberFormat="1" applyFont="1" applyBorder="1" applyAlignment="1" applyProtection="1">
      <alignment horizontal="right" vertical="center" wrapText="1"/>
      <protection locked="0"/>
    </xf>
    <xf numFmtId="3" fontId="12" fillId="0" borderId="47" xfId="0" applyNumberFormat="1" applyFont="1" applyBorder="1" applyAlignment="1" applyProtection="1">
      <alignment horizontal="right" vertical="center" wrapText="1"/>
      <protection locked="0"/>
    </xf>
    <xf numFmtId="3" fontId="27" fillId="0" borderId="6" xfId="0" applyNumberFormat="1" applyFont="1" applyBorder="1" applyAlignment="1" applyProtection="1">
      <alignment horizontal="left" vertical="center"/>
      <protection locked="0"/>
    </xf>
    <xf numFmtId="0" fontId="9"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27" fillId="0" borderId="9" xfId="0" applyFont="1" applyBorder="1" applyAlignment="1" applyProtection="1">
      <alignment horizontal="left" vertical="center" wrapText="1"/>
      <protection locked="0"/>
    </xf>
    <xf numFmtId="3" fontId="27" fillId="0" borderId="9" xfId="0" applyNumberFormat="1" applyFont="1" applyBorder="1" applyAlignment="1" applyProtection="1">
      <alignment horizontal="left" vertical="center" wrapText="1"/>
      <protection locked="0"/>
    </xf>
    <xf numFmtId="3" fontId="27" fillId="0" borderId="9" xfId="0" applyNumberFormat="1" applyFont="1" applyBorder="1" applyAlignment="1" applyProtection="1">
      <alignment horizontal="left" vertical="top" wrapText="1"/>
      <protection locked="0"/>
    </xf>
    <xf numFmtId="0" fontId="27" fillId="0" borderId="15" xfId="0" applyFont="1" applyBorder="1" applyAlignment="1" applyProtection="1">
      <alignment horizontal="right" vertical="center" wrapText="1"/>
      <protection locked="0"/>
    </xf>
    <xf numFmtId="0" fontId="27" fillId="0" borderId="46" xfId="0" applyFont="1" applyBorder="1" applyAlignment="1" applyProtection="1">
      <alignment horizontal="right" vertical="center" wrapText="1"/>
      <protection locked="0"/>
    </xf>
    <xf numFmtId="0" fontId="12" fillId="0" borderId="0" xfId="0" applyFont="1" applyAlignment="1" applyProtection="1">
      <alignment wrapText="1"/>
      <protection locked="0"/>
    </xf>
    <xf numFmtId="0" fontId="27" fillId="3" borderId="2" xfId="0" applyFont="1" applyFill="1" applyBorder="1" applyAlignment="1" applyProtection="1">
      <alignment horizontal="left" vertical="center"/>
      <protection locked="0"/>
    </xf>
    <xf numFmtId="0" fontId="27" fillId="2" borderId="2" xfId="0" applyFont="1" applyFill="1" applyBorder="1" applyProtection="1">
      <protection locked="0"/>
    </xf>
    <xf numFmtId="3" fontId="27" fillId="3" borderId="2" xfId="0" applyNumberFormat="1" applyFont="1" applyFill="1" applyBorder="1" applyProtection="1">
      <protection locked="0"/>
    </xf>
    <xf numFmtId="3" fontId="27" fillId="2" borderId="9" xfId="0" applyNumberFormat="1" applyFont="1" applyFill="1" applyBorder="1" applyProtection="1">
      <protection locked="0"/>
    </xf>
    <xf numFmtId="3" fontId="27" fillId="2" borderId="2" xfId="0" applyNumberFormat="1" applyFont="1" applyFill="1" applyBorder="1" applyProtection="1">
      <protection locked="0"/>
    </xf>
    <xf numFmtId="9" fontId="33" fillId="2" borderId="19" xfId="1" applyFont="1" applyFill="1" applyBorder="1" applyAlignment="1" applyProtection="1">
      <alignment horizontal="right"/>
      <protection locked="0"/>
    </xf>
    <xf numFmtId="3" fontId="12" fillId="0" borderId="51" xfId="0" applyNumberFormat="1" applyFont="1" applyFill="1" applyBorder="1" applyProtection="1">
      <protection locked="0"/>
    </xf>
    <xf numFmtId="164" fontId="12" fillId="0" borderId="51" xfId="1" applyNumberFormat="1" applyFont="1" applyFill="1" applyBorder="1" applyProtection="1">
      <protection locked="0"/>
    </xf>
    <xf numFmtId="3" fontId="10" fillId="0" borderId="51" xfId="0" applyNumberFormat="1" applyFont="1" applyBorder="1" applyProtection="1">
      <protection locked="0"/>
    </xf>
    <xf numFmtId="3" fontId="12" fillId="3" borderId="33" xfId="0" applyNumberFormat="1" applyFont="1" applyFill="1" applyBorder="1" applyAlignment="1" applyProtection="1">
      <alignment vertical="top" wrapText="1"/>
      <protection locked="0"/>
    </xf>
    <xf numFmtId="3" fontId="12" fillId="3" borderId="25" xfId="0" applyNumberFormat="1" applyFont="1" applyFill="1" applyBorder="1" applyAlignment="1" applyProtection="1">
      <alignment vertical="top" wrapText="1"/>
      <protection locked="0"/>
    </xf>
    <xf numFmtId="3" fontId="12" fillId="3" borderId="29" xfId="0" applyNumberFormat="1" applyFont="1" applyFill="1" applyBorder="1" applyAlignment="1" applyProtection="1">
      <alignment vertical="top" wrapText="1"/>
      <protection locked="0"/>
    </xf>
    <xf numFmtId="9" fontId="10" fillId="0" borderId="11" xfId="1" applyFont="1" applyBorder="1" applyAlignment="1" applyProtection="1">
      <alignment horizontal="right" vertical="top"/>
      <protection locked="0"/>
    </xf>
    <xf numFmtId="3" fontId="12" fillId="0" borderId="69" xfId="0" applyNumberFormat="1" applyFont="1" applyFill="1" applyBorder="1" applyProtection="1">
      <protection locked="0"/>
    </xf>
    <xf numFmtId="164" fontId="12" fillId="0" borderId="69" xfId="1" applyNumberFormat="1" applyFont="1" applyFill="1" applyBorder="1" applyProtection="1">
      <protection locked="0"/>
    </xf>
    <xf numFmtId="3" fontId="12" fillId="0" borderId="69" xfId="0" applyNumberFormat="1" applyFont="1" applyBorder="1" applyAlignment="1" applyProtection="1">
      <alignment vertical="top" wrapText="1"/>
      <protection locked="0"/>
    </xf>
    <xf numFmtId="3" fontId="10" fillId="0" borderId="69" xfId="0" applyNumberFormat="1" applyFont="1" applyBorder="1" applyProtection="1">
      <protection locked="0"/>
    </xf>
    <xf numFmtId="3" fontId="12" fillId="3" borderId="72" xfId="0" applyNumberFormat="1" applyFont="1" applyFill="1" applyBorder="1" applyAlignment="1" applyProtection="1">
      <alignment vertical="top" wrapText="1"/>
      <protection locked="0"/>
    </xf>
    <xf numFmtId="3" fontId="12" fillId="3" borderId="27" xfId="0" applyNumberFormat="1" applyFont="1" applyFill="1" applyBorder="1" applyAlignment="1" applyProtection="1">
      <alignment vertical="top" wrapText="1"/>
      <protection locked="0"/>
    </xf>
    <xf numFmtId="3" fontId="12" fillId="3" borderId="31" xfId="0" applyNumberFormat="1" applyFont="1" applyFill="1" applyBorder="1" applyAlignment="1" applyProtection="1">
      <alignment vertical="top" wrapText="1"/>
      <protection locked="0"/>
    </xf>
    <xf numFmtId="3" fontId="12" fillId="0" borderId="0" xfId="0" applyNumberFormat="1" applyFont="1" applyBorder="1" applyProtection="1">
      <protection locked="0"/>
    </xf>
    <xf numFmtId="9" fontId="12" fillId="0" borderId="0" xfId="1" applyFont="1" applyBorder="1" applyProtection="1">
      <protection locked="0"/>
    </xf>
    <xf numFmtId="1" fontId="12" fillId="0" borderId="0" xfId="0" applyNumberFormat="1" applyFont="1" applyBorder="1" applyAlignment="1" applyProtection="1">
      <alignment vertical="top" wrapText="1"/>
      <protection locked="0"/>
    </xf>
    <xf numFmtId="3" fontId="12" fillId="0" borderId="7" xfId="0" applyNumberFormat="1" applyFont="1" applyBorder="1" applyProtection="1">
      <protection locked="0"/>
    </xf>
    <xf numFmtId="3" fontId="29" fillId="0" borderId="0" xfId="0" applyNumberFormat="1" applyFont="1" applyBorder="1" applyProtection="1">
      <protection locked="0"/>
    </xf>
    <xf numFmtId="3" fontId="29" fillId="0" borderId="7" xfId="0" applyNumberFormat="1" applyFont="1" applyBorder="1" applyProtection="1">
      <protection locked="0"/>
    </xf>
    <xf numFmtId="0" fontId="12" fillId="0" borderId="11" xfId="0" applyFont="1" applyBorder="1" applyProtection="1">
      <protection locked="0"/>
    </xf>
    <xf numFmtId="3" fontId="12" fillId="4" borderId="51" xfId="0" applyNumberFormat="1" applyFont="1" applyFill="1" applyBorder="1" applyProtection="1">
      <protection locked="0"/>
    </xf>
    <xf numFmtId="3" fontId="12" fillId="0" borderId="51" xfId="0" applyNumberFormat="1" applyFont="1" applyBorder="1" applyProtection="1">
      <protection locked="0"/>
    </xf>
    <xf numFmtId="3" fontId="12" fillId="4" borderId="61" xfId="0" applyNumberFormat="1" applyFont="1" applyFill="1" applyBorder="1" applyProtection="1">
      <protection locked="0"/>
    </xf>
    <xf numFmtId="3" fontId="12" fillId="0" borderId="61" xfId="0" applyNumberFormat="1" applyFont="1" applyBorder="1" applyProtection="1">
      <protection locked="0"/>
    </xf>
    <xf numFmtId="3" fontId="12" fillId="3" borderId="34" xfId="0" applyNumberFormat="1" applyFont="1" applyFill="1" applyBorder="1" applyAlignment="1" applyProtection="1">
      <alignment vertical="top" wrapText="1"/>
      <protection locked="0"/>
    </xf>
    <xf numFmtId="3" fontId="12" fillId="3" borderId="21" xfId="0" applyNumberFormat="1" applyFont="1" applyFill="1" applyBorder="1" applyAlignment="1" applyProtection="1">
      <alignment vertical="top" wrapText="1"/>
      <protection locked="0"/>
    </xf>
    <xf numFmtId="3" fontId="12" fillId="3" borderId="30" xfId="0" applyNumberFormat="1" applyFont="1" applyFill="1" applyBorder="1" applyAlignment="1" applyProtection="1">
      <alignment vertical="top" wrapText="1"/>
      <protection locked="0"/>
    </xf>
    <xf numFmtId="3" fontId="12" fillId="4" borderId="69" xfId="0" applyNumberFormat="1" applyFont="1" applyFill="1" applyBorder="1" applyProtection="1">
      <protection locked="0"/>
    </xf>
    <xf numFmtId="3" fontId="12" fillId="0" borderId="69" xfId="0" applyNumberFormat="1" applyFont="1" applyBorder="1" applyProtection="1">
      <protection locked="0"/>
    </xf>
    <xf numFmtId="3" fontId="27" fillId="0" borderId="5" xfId="0" applyNumberFormat="1" applyFont="1" applyBorder="1" applyAlignment="1" applyProtection="1">
      <alignment vertical="top"/>
      <protection locked="0"/>
    </xf>
    <xf numFmtId="3" fontId="27" fillId="0" borderId="68" xfId="0" applyNumberFormat="1" applyFont="1" applyBorder="1" applyProtection="1">
      <protection locked="0"/>
    </xf>
    <xf numFmtId="3" fontId="12" fillId="0" borderId="5" xfId="0" applyNumberFormat="1" applyFont="1" applyBorder="1" applyAlignment="1" applyProtection="1">
      <alignment vertical="top" wrapText="1"/>
      <protection locked="0"/>
    </xf>
    <xf numFmtId="3" fontId="12" fillId="0" borderId="68" xfId="0" applyNumberFormat="1" applyFont="1" applyBorder="1" applyAlignment="1" applyProtection="1">
      <alignment vertical="top" wrapText="1"/>
      <protection locked="0"/>
    </xf>
    <xf numFmtId="3" fontId="27" fillId="0" borderId="41" xfId="0" applyNumberFormat="1" applyFont="1" applyBorder="1" applyAlignment="1" applyProtection="1">
      <alignment vertical="top"/>
      <protection locked="0"/>
    </xf>
    <xf numFmtId="3" fontId="12" fillId="0" borderId="41" xfId="0" applyNumberFormat="1" applyFont="1" applyBorder="1" applyProtection="1">
      <protection locked="0"/>
    </xf>
    <xf numFmtId="3" fontId="27" fillId="0" borderId="70" xfId="0" applyNumberFormat="1" applyFont="1" applyBorder="1" applyProtection="1">
      <protection locked="0"/>
    </xf>
    <xf numFmtId="3" fontId="12" fillId="0" borderId="41" xfId="0" applyNumberFormat="1" applyFont="1" applyBorder="1" applyAlignment="1" applyProtection="1">
      <alignment vertical="top" wrapText="1"/>
      <protection locked="0"/>
    </xf>
    <xf numFmtId="3" fontId="12" fillId="0" borderId="70" xfId="0" applyNumberFormat="1" applyFont="1" applyBorder="1" applyAlignment="1" applyProtection="1">
      <alignment vertical="top" wrapText="1"/>
      <protection locked="0"/>
    </xf>
    <xf numFmtId="1" fontId="12" fillId="0" borderId="0" xfId="1" applyNumberFormat="1" applyFont="1" applyProtection="1">
      <protection locked="0"/>
    </xf>
    <xf numFmtId="3" fontId="12" fillId="0" borderId="0" xfId="0" applyNumberFormat="1" applyFont="1" applyAlignment="1" applyProtection="1">
      <alignment vertical="top" wrapText="1"/>
      <protection locked="0"/>
    </xf>
    <xf numFmtId="3" fontId="12" fillId="0" borderId="71" xfId="0" applyNumberFormat="1" applyFont="1" applyBorder="1" applyAlignment="1" applyProtection="1">
      <alignment vertical="top" wrapText="1"/>
      <protection locked="0"/>
    </xf>
    <xf numFmtId="3" fontId="27" fillId="0" borderId="2" xfId="0" applyNumberFormat="1" applyFont="1" applyBorder="1" applyAlignment="1" applyProtection="1">
      <alignment horizontal="left" vertical="center" wrapText="1"/>
      <protection locked="0"/>
    </xf>
    <xf numFmtId="0" fontId="27" fillId="2" borderId="0" xfId="0" applyFont="1" applyFill="1" applyBorder="1" applyAlignment="1" applyProtection="1">
      <alignment horizontal="left" vertical="center"/>
      <protection locked="0"/>
    </xf>
    <xf numFmtId="0" fontId="12" fillId="2" borderId="0" xfId="0" applyFont="1" applyFill="1" applyBorder="1" applyProtection="1">
      <protection locked="0"/>
    </xf>
    <xf numFmtId="9" fontId="12" fillId="2" borderId="0" xfId="1" applyFont="1" applyFill="1" applyBorder="1" applyProtection="1">
      <protection locked="0"/>
    </xf>
    <xf numFmtId="0" fontId="12" fillId="2" borderId="12" xfId="0" applyFont="1" applyFill="1" applyBorder="1" applyProtection="1">
      <protection locked="0"/>
    </xf>
    <xf numFmtId="0" fontId="11" fillId="2" borderId="0" xfId="0" applyFont="1" applyFill="1" applyBorder="1" applyProtection="1">
      <protection locked="0"/>
    </xf>
    <xf numFmtId="0" fontId="12" fillId="2" borderId="0" xfId="0" applyFont="1" applyFill="1" applyProtection="1">
      <protection locked="0"/>
    </xf>
    <xf numFmtId="9" fontId="12" fillId="0" borderId="5" xfId="1" applyFont="1" applyBorder="1" applyProtection="1">
      <protection locked="0"/>
    </xf>
    <xf numFmtId="3" fontId="27" fillId="0" borderId="13" xfId="0" applyNumberFormat="1" applyFont="1" applyBorder="1" applyProtection="1">
      <protection locked="0"/>
    </xf>
    <xf numFmtId="3" fontId="12" fillId="0" borderId="86" xfId="0" applyNumberFormat="1" applyFont="1" applyBorder="1" applyAlignment="1" applyProtection="1">
      <alignment vertical="top" wrapText="1"/>
      <protection locked="0"/>
    </xf>
    <xf numFmtId="3" fontId="12" fillId="0" borderId="20" xfId="0" applyNumberFormat="1" applyFont="1" applyBorder="1" applyAlignment="1" applyProtection="1">
      <alignment vertical="top" wrapText="1"/>
      <protection locked="0"/>
    </xf>
    <xf numFmtId="164" fontId="12" fillId="0" borderId="0" xfId="1" applyNumberFormat="1" applyFont="1" applyFill="1" applyBorder="1" applyProtection="1">
      <protection locked="0"/>
    </xf>
    <xf numFmtId="3" fontId="12" fillId="0" borderId="12" xfId="0" applyNumberFormat="1" applyFont="1" applyBorder="1" applyProtection="1">
      <protection locked="0"/>
    </xf>
    <xf numFmtId="3" fontId="12" fillId="3" borderId="87" xfId="0" applyNumberFormat="1" applyFont="1" applyFill="1" applyBorder="1" applyAlignment="1" applyProtection="1">
      <alignment vertical="top" wrapText="1"/>
      <protection locked="0"/>
    </xf>
    <xf numFmtId="0" fontId="9" fillId="0" borderId="0" xfId="0" applyFont="1" applyFill="1" applyAlignment="1">
      <alignment horizontal="left" vertical="center"/>
    </xf>
    <xf numFmtId="0" fontId="10" fillId="3" borderId="0" xfId="0" applyFont="1" applyFill="1" applyAlignment="1">
      <alignment vertical="center"/>
    </xf>
    <xf numFmtId="0" fontId="10" fillId="0" borderId="0" xfId="0" applyFont="1" applyFill="1" applyAlignment="1">
      <alignment vertical="center"/>
    </xf>
    <xf numFmtId="0" fontId="34" fillId="0" borderId="0" xfId="3" applyFont="1" applyFill="1" applyAlignment="1">
      <alignment horizontal="left" vertical="center"/>
    </xf>
    <xf numFmtId="0" fontId="10" fillId="0" borderId="0" xfId="0" applyFont="1" applyAlignment="1">
      <alignment horizontal="left" vertical="center"/>
    </xf>
    <xf numFmtId="0" fontId="9" fillId="0" borderId="1" xfId="0" applyFont="1" applyFill="1" applyBorder="1" applyAlignment="1">
      <alignment horizontal="left" vertical="center"/>
    </xf>
    <xf numFmtId="0" fontId="10" fillId="11" borderId="1" xfId="0" applyFont="1" applyFill="1" applyBorder="1" applyAlignment="1">
      <alignment vertical="center"/>
    </xf>
    <xf numFmtId="0" fontId="10" fillId="0" borderId="1" xfId="0" applyFont="1" applyFill="1" applyBorder="1" applyAlignment="1">
      <alignment vertical="center"/>
    </xf>
    <xf numFmtId="0" fontId="34" fillId="0" borderId="1" xfId="3" applyFont="1" applyFill="1" applyBorder="1" applyAlignment="1">
      <alignment horizontal="left" vertical="center"/>
    </xf>
    <xf numFmtId="0" fontId="35" fillId="0" borderId="0" xfId="0" applyFont="1"/>
    <xf numFmtId="0" fontId="10" fillId="0" borderId="0" xfId="0" applyFont="1"/>
    <xf numFmtId="0" fontId="10" fillId="0" borderId="0" xfId="0" applyFont="1" applyBorder="1"/>
    <xf numFmtId="0" fontId="10" fillId="0" borderId="56" xfId="0" applyFont="1" applyBorder="1" applyAlignment="1">
      <alignment vertical="top"/>
    </xf>
    <xf numFmtId="0" fontId="10" fillId="0" borderId="56" xfId="0" applyFont="1" applyBorder="1"/>
    <xf numFmtId="0" fontId="10" fillId="0" borderId="57" xfId="0" applyFont="1" applyBorder="1"/>
    <xf numFmtId="0" fontId="12" fillId="0" borderId="0" xfId="0" applyFont="1" applyBorder="1" applyAlignment="1">
      <alignment vertical="top"/>
    </xf>
    <xf numFmtId="0" fontId="10" fillId="2" borderId="1"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10" fillId="0" borderId="0" xfId="0" applyFont="1" applyAlignment="1">
      <alignment vertical="center"/>
    </xf>
    <xf numFmtId="0" fontId="9" fillId="2" borderId="2" xfId="0" applyFont="1" applyFill="1" applyBorder="1" applyAlignment="1">
      <alignment vertical="top"/>
    </xf>
    <xf numFmtId="0" fontId="10" fillId="5" borderId="2" xfId="0" applyFont="1" applyFill="1" applyBorder="1" applyAlignment="1">
      <alignment vertical="top" wrapText="1"/>
    </xf>
    <xf numFmtId="0" fontId="9" fillId="5" borderId="2" xfId="0" applyFont="1" applyFill="1" applyBorder="1" applyAlignment="1">
      <alignment vertical="top" wrapText="1"/>
    </xf>
    <xf numFmtId="0" fontId="9" fillId="5" borderId="2" xfId="0" applyFont="1" applyFill="1" applyBorder="1" applyAlignment="1">
      <alignment vertical="top"/>
    </xf>
    <xf numFmtId="0" fontId="9" fillId="0" borderId="24" xfId="0" applyFont="1" applyBorder="1" applyAlignment="1">
      <alignment vertical="top"/>
    </xf>
    <xf numFmtId="0" fontId="9" fillId="0" borderId="46" xfId="0" applyFont="1" applyBorder="1" applyAlignment="1">
      <alignment vertical="top"/>
    </xf>
    <xf numFmtId="0" fontId="9" fillId="0" borderId="15" xfId="0" applyFont="1" applyBorder="1" applyAlignment="1">
      <alignment vertical="top" wrapText="1"/>
    </xf>
    <xf numFmtId="0" fontId="27" fillId="0" borderId="52" xfId="0" applyFont="1" applyBorder="1" applyAlignment="1">
      <alignment vertical="top"/>
    </xf>
    <xf numFmtId="0" fontId="9" fillId="0" borderId="38" xfId="0" applyFont="1" applyBorder="1" applyAlignment="1">
      <alignment horizontal="left" vertical="top"/>
    </xf>
    <xf numFmtId="0" fontId="9" fillId="0" borderId="2" xfId="0" applyFont="1" applyBorder="1" applyAlignment="1">
      <alignment horizontal="left" vertical="center" wrapText="1"/>
    </xf>
    <xf numFmtId="0" fontId="9" fillId="0" borderId="16" xfId="0" applyFont="1" applyBorder="1"/>
    <xf numFmtId="0" fontId="10" fillId="0" borderId="47" xfId="0" applyFont="1" applyBorder="1"/>
    <xf numFmtId="0" fontId="10" fillId="0" borderId="16" xfId="0" applyFont="1" applyBorder="1"/>
    <xf numFmtId="0" fontId="10" fillId="0" borderId="20" xfId="0" applyFont="1" applyBorder="1"/>
    <xf numFmtId="0" fontId="10" fillId="0" borderId="58" xfId="0" applyFont="1" applyBorder="1"/>
    <xf numFmtId="0" fontId="10" fillId="0" borderId="61" xfId="0" applyFont="1" applyBorder="1"/>
    <xf numFmtId="0" fontId="10" fillId="0" borderId="40" xfId="0" applyFont="1" applyBorder="1"/>
    <xf numFmtId="0" fontId="10" fillId="0" borderId="11" xfId="0" applyFont="1" applyBorder="1"/>
    <xf numFmtId="0" fontId="10" fillId="0" borderId="30" xfId="0" applyFont="1" applyBorder="1"/>
    <xf numFmtId="3" fontId="10" fillId="3" borderId="11" xfId="0" applyNumberFormat="1" applyFont="1" applyFill="1" applyBorder="1"/>
    <xf numFmtId="3" fontId="10" fillId="0" borderId="21" xfId="0" applyNumberFormat="1" applyFont="1" applyFill="1" applyBorder="1"/>
    <xf numFmtId="3" fontId="10" fillId="0" borderId="30" xfId="0" applyNumberFormat="1" applyFont="1" applyFill="1" applyBorder="1"/>
    <xf numFmtId="3" fontId="10" fillId="0" borderId="50" xfId="0" applyNumberFormat="1" applyFont="1" applyFill="1" applyBorder="1"/>
    <xf numFmtId="0" fontId="36" fillId="0" borderId="11" xfId="0" applyFont="1" applyBorder="1"/>
    <xf numFmtId="0" fontId="36" fillId="0" borderId="30" xfId="0" applyFont="1" applyBorder="1"/>
    <xf numFmtId="9" fontId="36" fillId="3" borderId="11" xfId="0" applyNumberFormat="1" applyFont="1" applyFill="1" applyBorder="1"/>
    <xf numFmtId="9" fontId="36" fillId="3" borderId="21" xfId="0" applyNumberFormat="1" applyFont="1" applyFill="1" applyBorder="1"/>
    <xf numFmtId="9" fontId="36" fillId="0" borderId="61" xfId="0" applyNumberFormat="1" applyFont="1" applyFill="1" applyBorder="1"/>
    <xf numFmtId="0" fontId="36" fillId="3" borderId="40" xfId="0" applyFont="1" applyFill="1" applyBorder="1"/>
    <xf numFmtId="0" fontId="36" fillId="3" borderId="0" xfId="0" applyFont="1" applyFill="1" applyBorder="1"/>
    <xf numFmtId="0" fontId="36" fillId="3" borderId="11" xfId="0" applyFont="1" applyFill="1" applyBorder="1"/>
    <xf numFmtId="0" fontId="36" fillId="3" borderId="21" xfId="0" applyFont="1" applyFill="1" applyBorder="1"/>
    <xf numFmtId="0" fontId="36" fillId="0" borderId="61" xfId="0" applyFont="1" applyFill="1" applyBorder="1"/>
    <xf numFmtId="3" fontId="10" fillId="3" borderId="21" xfId="0" applyNumberFormat="1" applyFont="1" applyFill="1" applyBorder="1"/>
    <xf numFmtId="3" fontId="10" fillId="0" borderId="61" xfId="0" applyNumberFormat="1" applyFont="1" applyFill="1" applyBorder="1"/>
    <xf numFmtId="0" fontId="10" fillId="3" borderId="40" xfId="0" applyFont="1" applyFill="1" applyBorder="1"/>
    <xf numFmtId="0" fontId="10" fillId="3" borderId="0" xfId="0" applyFont="1" applyFill="1" applyBorder="1"/>
    <xf numFmtId="0" fontId="10" fillId="0" borderId="11" xfId="0" applyFont="1" applyFill="1" applyBorder="1"/>
    <xf numFmtId="0" fontId="10" fillId="0" borderId="21" xfId="0" applyFont="1" applyFill="1" applyBorder="1"/>
    <xf numFmtId="0" fontId="10" fillId="0" borderId="30" xfId="0" applyFont="1" applyFill="1" applyBorder="1"/>
    <xf numFmtId="0" fontId="10" fillId="0" borderId="61" xfId="0" applyFont="1" applyFill="1" applyBorder="1"/>
    <xf numFmtId="0" fontId="10" fillId="0" borderId="40" xfId="0" applyFont="1" applyFill="1" applyBorder="1"/>
    <xf numFmtId="0" fontId="9" fillId="0" borderId="17" xfId="0" applyFont="1" applyBorder="1"/>
    <xf numFmtId="0" fontId="10" fillId="0" borderId="43" xfId="0" applyFont="1" applyBorder="1"/>
    <xf numFmtId="0" fontId="10" fillId="0" borderId="17" xfId="0" applyFont="1" applyFill="1" applyBorder="1"/>
    <xf numFmtId="0" fontId="10" fillId="0" borderId="22" xfId="0" applyFont="1" applyFill="1" applyBorder="1"/>
    <xf numFmtId="0" fontId="10" fillId="0" borderId="43" xfId="0" applyFont="1" applyFill="1" applyBorder="1"/>
    <xf numFmtId="0" fontId="10" fillId="0" borderId="62" xfId="0" applyFont="1" applyFill="1" applyBorder="1"/>
    <xf numFmtId="4" fontId="10" fillId="3" borderId="11" xfId="0" applyNumberFormat="1" applyFont="1" applyFill="1" applyBorder="1"/>
    <xf numFmtId="4" fontId="10" fillId="3" borderId="21" xfId="0" applyNumberFormat="1" applyFont="1" applyFill="1" applyBorder="1"/>
    <xf numFmtId="4" fontId="10" fillId="3" borderId="30" xfId="0" applyNumberFormat="1" applyFont="1" applyFill="1" applyBorder="1"/>
    <xf numFmtId="4" fontId="10" fillId="0" borderId="61" xfId="0" applyNumberFormat="1" applyFont="1" applyFill="1" applyBorder="1"/>
    <xf numFmtId="4" fontId="10" fillId="6" borderId="21" xfId="0" applyNumberFormat="1" applyFont="1" applyFill="1" applyBorder="1"/>
    <xf numFmtId="4" fontId="10" fillId="6" borderId="30" xfId="0" applyNumberFormat="1" applyFont="1" applyFill="1" applyBorder="1"/>
    <xf numFmtId="9" fontId="36" fillId="3" borderId="21" xfId="0" quotePrefix="1" applyNumberFormat="1" applyFont="1" applyFill="1" applyBorder="1"/>
    <xf numFmtId="9" fontId="36" fillId="3" borderId="30" xfId="0" quotePrefix="1" applyNumberFormat="1" applyFont="1" applyFill="1" applyBorder="1"/>
    <xf numFmtId="2" fontId="10" fillId="0" borderId="11" xfId="0" applyNumberFormat="1" applyFont="1" applyFill="1" applyBorder="1"/>
    <xf numFmtId="2" fontId="10" fillId="0" borderId="21" xfId="0" applyNumberFormat="1" applyFont="1" applyFill="1" applyBorder="1"/>
    <xf numFmtId="2" fontId="10" fillId="0" borderId="30" xfId="0" applyNumberFormat="1" applyFont="1" applyFill="1" applyBorder="1"/>
    <xf numFmtId="0" fontId="9" fillId="0" borderId="11" xfId="0" applyFont="1" applyBorder="1"/>
    <xf numFmtId="2" fontId="10" fillId="3" borderId="11" xfId="0" applyNumberFormat="1" applyFont="1" applyFill="1" applyBorder="1"/>
    <xf numFmtId="2" fontId="10" fillId="3" borderId="21" xfId="0" applyNumberFormat="1" applyFont="1" applyFill="1" applyBorder="1"/>
    <xf numFmtId="2" fontId="10" fillId="3" borderId="30" xfId="0" applyNumberFormat="1" applyFont="1" applyFill="1" applyBorder="1"/>
    <xf numFmtId="9" fontId="10" fillId="3" borderId="11" xfId="0" applyNumberFormat="1" applyFont="1" applyFill="1" applyBorder="1"/>
    <xf numFmtId="9" fontId="10" fillId="3" borderId="21" xfId="0" applyNumberFormat="1" applyFont="1" applyFill="1" applyBorder="1"/>
    <xf numFmtId="9" fontId="10" fillId="3" borderId="30" xfId="0" applyNumberFormat="1" applyFont="1" applyFill="1" applyBorder="1"/>
    <xf numFmtId="0" fontId="9" fillId="0" borderId="15" xfId="0" applyFont="1" applyBorder="1" applyAlignment="1">
      <alignment horizontal="left" vertical="top"/>
    </xf>
    <xf numFmtId="0" fontId="10" fillId="0" borderId="46" xfId="0" applyFont="1" applyBorder="1" applyAlignment="1">
      <alignment vertical="top"/>
    </xf>
    <xf numFmtId="3" fontId="10" fillId="3" borderId="15" xfId="0" applyNumberFormat="1" applyFont="1" applyFill="1" applyBorder="1" applyAlignment="1">
      <alignment vertical="top"/>
    </xf>
    <xf numFmtId="3" fontId="10" fillId="3" borderId="19" xfId="0" applyNumberFormat="1" applyFont="1" applyFill="1" applyBorder="1" applyAlignment="1">
      <alignment vertical="top"/>
    </xf>
    <xf numFmtId="3" fontId="10" fillId="3" borderId="46" xfId="0" applyNumberFormat="1" applyFont="1" applyFill="1" applyBorder="1" applyAlignment="1">
      <alignment vertical="top"/>
    </xf>
    <xf numFmtId="3" fontId="10" fillId="0" borderId="52" xfId="0" applyNumberFormat="1" applyFont="1" applyFill="1" applyBorder="1" applyAlignment="1">
      <alignment vertical="top"/>
    </xf>
    <xf numFmtId="0" fontId="11" fillId="0" borderId="48" xfId="0" applyFont="1" applyBorder="1" applyAlignment="1">
      <alignment vertical="top"/>
    </xf>
    <xf numFmtId="0" fontId="9" fillId="0" borderId="11" xfId="0" applyFont="1" applyBorder="1" applyAlignment="1">
      <alignment vertical="top"/>
    </xf>
    <xf numFmtId="0" fontId="10" fillId="0" borderId="30" xfId="0" applyFont="1" applyBorder="1" applyAlignment="1">
      <alignment vertical="top"/>
    </xf>
    <xf numFmtId="3" fontId="10" fillId="3" borderId="11" xfId="0" applyNumberFormat="1" applyFont="1" applyFill="1" applyBorder="1" applyAlignment="1">
      <alignment vertical="top"/>
    </xf>
    <xf numFmtId="3" fontId="10" fillId="3" borderId="21" xfId="0" applyNumberFormat="1" applyFont="1" applyFill="1" applyBorder="1" applyAlignment="1">
      <alignment vertical="top"/>
    </xf>
    <xf numFmtId="3" fontId="10" fillId="3" borderId="30" xfId="0" applyNumberFormat="1" applyFont="1" applyFill="1" applyBorder="1" applyAlignment="1">
      <alignment vertical="top"/>
    </xf>
    <xf numFmtId="0" fontId="9" fillId="0" borderId="14" xfId="0" applyFont="1" applyBorder="1" applyAlignment="1">
      <alignment vertical="top"/>
    </xf>
    <xf numFmtId="0" fontId="10" fillId="0" borderId="32" xfId="0" applyFont="1" applyBorder="1" applyAlignment="1">
      <alignment vertical="top"/>
    </xf>
    <xf numFmtId="3" fontId="9" fillId="0" borderId="14" xfId="0" applyNumberFormat="1" applyFont="1" applyFill="1" applyBorder="1" applyAlignment="1">
      <alignment vertical="top"/>
    </xf>
    <xf numFmtId="3" fontId="9" fillId="0" borderId="18" xfId="0" applyNumberFormat="1" applyFont="1" applyFill="1" applyBorder="1" applyAlignment="1">
      <alignment vertical="top"/>
    </xf>
    <xf numFmtId="3" fontId="9" fillId="0" borderId="32" xfId="0" applyNumberFormat="1" applyFont="1" applyFill="1" applyBorder="1" applyAlignment="1">
      <alignment vertical="top"/>
    </xf>
    <xf numFmtId="3" fontId="9" fillId="0" borderId="60" xfId="0" applyNumberFormat="1" applyFont="1" applyFill="1" applyBorder="1" applyAlignment="1">
      <alignment vertical="top"/>
    </xf>
    <xf numFmtId="0" fontId="10" fillId="0" borderId="0" xfId="0" applyFont="1" applyBorder="1" applyAlignment="1">
      <alignment vertical="top"/>
    </xf>
    <xf numFmtId="3" fontId="10" fillId="0" borderId="0" xfId="0" applyNumberFormat="1" applyFont="1" applyFill="1" applyBorder="1" applyAlignment="1">
      <alignment vertical="top"/>
    </xf>
    <xf numFmtId="0" fontId="10" fillId="0" borderId="51" xfId="0" applyFont="1" applyBorder="1"/>
    <xf numFmtId="3" fontId="10" fillId="0" borderId="40" xfId="0" applyNumberFormat="1" applyFont="1" applyFill="1" applyBorder="1"/>
    <xf numFmtId="9" fontId="36" fillId="3" borderId="40" xfId="0" applyNumberFormat="1" applyFont="1" applyFill="1" applyBorder="1"/>
    <xf numFmtId="3" fontId="10" fillId="3" borderId="40" xfId="0" applyNumberFormat="1" applyFont="1" applyFill="1" applyBorder="1"/>
    <xf numFmtId="3" fontId="36" fillId="0" borderId="61" xfId="0" applyNumberFormat="1" applyFont="1" applyFill="1" applyBorder="1"/>
    <xf numFmtId="3" fontId="10" fillId="0" borderId="11" xfId="0" applyNumberFormat="1" applyFont="1" applyFill="1" applyBorder="1"/>
    <xf numFmtId="9" fontId="10" fillId="3" borderId="21" xfId="1" applyNumberFormat="1" applyFont="1" applyFill="1" applyBorder="1"/>
    <xf numFmtId="9" fontId="10" fillId="3" borderId="40" xfId="0" applyNumberFormat="1" applyFont="1" applyFill="1" applyBorder="1"/>
    <xf numFmtId="9" fontId="10" fillId="0" borderId="61" xfId="0" applyNumberFormat="1" applyFont="1" applyBorder="1"/>
    <xf numFmtId="3" fontId="10" fillId="3" borderId="38" xfId="0" applyNumberFormat="1" applyFont="1" applyFill="1" applyBorder="1" applyAlignment="1">
      <alignment vertical="top"/>
    </xf>
    <xf numFmtId="3" fontId="10" fillId="0" borderId="52" xfId="0" applyNumberFormat="1" applyFont="1" applyBorder="1" applyAlignment="1">
      <alignment vertical="top"/>
    </xf>
    <xf numFmtId="3" fontId="10" fillId="3" borderId="40" xfId="0" applyNumberFormat="1" applyFont="1" applyFill="1" applyBorder="1" applyAlignment="1">
      <alignment vertical="top"/>
    </xf>
    <xf numFmtId="3" fontId="10" fillId="0" borderId="0" xfId="0" applyNumberFormat="1" applyFont="1" applyBorder="1" applyAlignment="1">
      <alignment vertical="top"/>
    </xf>
    <xf numFmtId="3" fontId="9" fillId="0" borderId="59" xfId="0" applyNumberFormat="1" applyFont="1" applyFill="1" applyBorder="1" applyAlignment="1">
      <alignment vertical="top"/>
    </xf>
    <xf numFmtId="3" fontId="9" fillId="0" borderId="60" xfId="0" applyNumberFormat="1" applyFont="1" applyBorder="1" applyAlignment="1">
      <alignment vertical="top"/>
    </xf>
    <xf numFmtId="3" fontId="9" fillId="0" borderId="48" xfId="0" applyNumberFormat="1" applyFont="1" applyFill="1" applyBorder="1" applyAlignment="1">
      <alignment vertical="top"/>
    </xf>
    <xf numFmtId="3" fontId="9" fillId="0" borderId="0" xfId="0" applyNumberFormat="1" applyFont="1" applyFill="1" applyBorder="1" applyAlignment="1">
      <alignment vertical="top"/>
    </xf>
    <xf numFmtId="0" fontId="9" fillId="0" borderId="2" xfId="0" applyFont="1" applyBorder="1" applyAlignment="1">
      <alignment vertical="top"/>
    </xf>
    <xf numFmtId="0" fontId="9" fillId="0" borderId="19" xfId="0" applyFont="1" applyBorder="1" applyAlignment="1">
      <alignment vertical="top" wrapText="1"/>
    </xf>
    <xf numFmtId="0" fontId="9" fillId="0" borderId="38" xfId="0" applyFont="1" applyBorder="1" applyAlignment="1">
      <alignment vertical="top" wrapText="1"/>
    </xf>
    <xf numFmtId="0" fontId="9" fillId="0" borderId="46" xfId="0" applyFont="1" applyBorder="1" applyAlignment="1">
      <alignment vertical="top" wrapText="1"/>
    </xf>
    <xf numFmtId="0" fontId="9" fillId="0" borderId="63" xfId="0" applyFont="1" applyBorder="1" applyAlignment="1">
      <alignment vertical="top"/>
    </xf>
    <xf numFmtId="0" fontId="9" fillId="2" borderId="1" xfId="0" applyFont="1" applyFill="1" applyBorder="1" applyAlignment="1">
      <alignment vertical="top"/>
    </xf>
    <xf numFmtId="0" fontId="10" fillId="2" borderId="31" xfId="0" applyFont="1" applyFill="1" applyBorder="1" applyAlignment="1">
      <alignment vertical="top"/>
    </xf>
    <xf numFmtId="0" fontId="10" fillId="2" borderId="1" xfId="0" applyFont="1" applyFill="1" applyBorder="1" applyAlignment="1">
      <alignment vertical="top"/>
    </xf>
    <xf numFmtId="0" fontId="10" fillId="2" borderId="8" xfId="0" applyFont="1" applyFill="1" applyBorder="1" applyAlignment="1">
      <alignment vertical="top"/>
    </xf>
    <xf numFmtId="0" fontId="10" fillId="2" borderId="2" xfId="0" applyFont="1" applyFill="1" applyBorder="1" applyAlignment="1">
      <alignment vertical="top"/>
    </xf>
    <xf numFmtId="0" fontId="10" fillId="2" borderId="27" xfId="0" applyFont="1" applyFill="1" applyBorder="1" applyAlignment="1">
      <alignment vertical="top"/>
    </xf>
    <xf numFmtId="0" fontId="10" fillId="2" borderId="38" xfId="0" applyFont="1" applyFill="1" applyBorder="1" applyAlignment="1">
      <alignment vertical="top"/>
    </xf>
    <xf numFmtId="0" fontId="9" fillId="0" borderId="0" xfId="0" applyFont="1" applyAlignment="1">
      <alignment vertical="top"/>
    </xf>
    <xf numFmtId="0" fontId="10" fillId="0" borderId="21" xfId="0" applyFont="1" applyBorder="1" applyAlignment="1">
      <alignment vertical="top"/>
    </xf>
    <xf numFmtId="9" fontId="10" fillId="3" borderId="30" xfId="1" applyFont="1" applyFill="1" applyBorder="1" applyAlignment="1">
      <alignment vertical="top"/>
    </xf>
    <xf numFmtId="0" fontId="10" fillId="0" borderId="0" xfId="0" applyFont="1" applyAlignment="1">
      <alignment horizontal="left" vertical="top" indent="1"/>
    </xf>
    <xf numFmtId="3" fontId="10" fillId="3" borderId="0" xfId="0" applyNumberFormat="1" applyFont="1" applyFill="1" applyAlignment="1">
      <alignment vertical="top"/>
    </xf>
    <xf numFmtId="3" fontId="10" fillId="3" borderId="7" xfId="0" applyNumberFormat="1" applyFont="1" applyFill="1" applyBorder="1" applyAlignment="1">
      <alignment vertical="top"/>
    </xf>
    <xf numFmtId="9" fontId="10" fillId="3" borderId="0" xfId="1" applyFont="1" applyFill="1" applyAlignment="1">
      <alignment vertical="top"/>
    </xf>
    <xf numFmtId="9" fontId="10" fillId="3" borderId="7" xfId="1" applyFont="1" applyFill="1" applyBorder="1" applyAlignment="1">
      <alignment vertical="top"/>
    </xf>
    <xf numFmtId="0" fontId="10" fillId="2" borderId="46" xfId="0" applyFont="1" applyFill="1" applyBorder="1" applyAlignment="1">
      <alignment vertical="top"/>
    </xf>
    <xf numFmtId="0" fontId="10" fillId="2" borderId="9" xfId="0" applyFont="1" applyFill="1" applyBorder="1" applyAlignment="1">
      <alignment vertical="top"/>
    </xf>
    <xf numFmtId="0" fontId="10" fillId="2" borderId="19" xfId="0" applyFont="1" applyFill="1" applyBorder="1" applyAlignment="1">
      <alignment vertical="top"/>
    </xf>
    <xf numFmtId="164" fontId="10" fillId="3" borderId="0" xfId="1" applyNumberFormat="1" applyFont="1" applyFill="1" applyAlignment="1">
      <alignment vertical="top"/>
    </xf>
    <xf numFmtId="164" fontId="10" fillId="3" borderId="7" xfId="1" applyNumberFormat="1" applyFont="1" applyFill="1" applyBorder="1" applyAlignment="1">
      <alignment vertical="top"/>
    </xf>
    <xf numFmtId="3" fontId="10" fillId="0" borderId="0" xfId="0" applyNumberFormat="1" applyFont="1"/>
    <xf numFmtId="3" fontId="10" fillId="0" borderId="7" xfId="0" applyNumberFormat="1" applyFont="1" applyBorder="1"/>
    <xf numFmtId="0" fontId="11" fillId="0" borderId="11" xfId="0" applyFont="1" applyBorder="1" applyAlignment="1">
      <alignment vertical="top"/>
    </xf>
    <xf numFmtId="0" fontId="10" fillId="0" borderId="21" xfId="0" applyFont="1" applyBorder="1"/>
    <xf numFmtId="3" fontId="10" fillId="2" borderId="2" xfId="0" applyNumberFormat="1" applyFont="1" applyFill="1" applyBorder="1" applyAlignment="1">
      <alignment vertical="top"/>
    </xf>
    <xf numFmtId="3" fontId="10" fillId="3" borderId="0" xfId="0" applyNumberFormat="1" applyFont="1" applyFill="1"/>
    <xf numFmtId="3" fontId="10" fillId="3" borderId="7" xfId="0" applyNumberFormat="1" applyFont="1" applyFill="1" applyBorder="1"/>
    <xf numFmtId="0" fontId="9" fillId="0" borderId="0" xfId="0" applyFont="1" applyAlignment="1">
      <alignment horizontal="left" vertical="top"/>
    </xf>
    <xf numFmtId="3" fontId="9" fillId="0" borderId="0" xfId="0" applyNumberFormat="1" applyFont="1" applyFill="1" applyAlignment="1">
      <alignment vertical="top"/>
    </xf>
    <xf numFmtId="3" fontId="9" fillId="0" borderId="7" xfId="0" applyNumberFormat="1" applyFont="1" applyFill="1" applyBorder="1" applyAlignment="1">
      <alignment vertical="top"/>
    </xf>
    <xf numFmtId="4" fontId="10" fillId="0" borderId="0" xfId="0" applyNumberFormat="1" applyFont="1" applyFill="1" applyAlignment="1">
      <alignment vertical="top"/>
    </xf>
    <xf numFmtId="4" fontId="10" fillId="0" borderId="7" xfId="0" applyNumberFormat="1" applyFont="1" applyFill="1" applyBorder="1" applyAlignment="1">
      <alignment vertical="top"/>
    </xf>
    <xf numFmtId="164" fontId="9" fillId="0" borderId="0" xfId="1" applyNumberFormat="1" applyFont="1" applyFill="1" applyAlignment="1">
      <alignment vertical="top"/>
    </xf>
    <xf numFmtId="164" fontId="9" fillId="0" borderId="7" xfId="1" applyNumberFormat="1" applyFont="1" applyFill="1" applyBorder="1" applyAlignment="1">
      <alignment vertical="top"/>
    </xf>
    <xf numFmtId="0" fontId="10" fillId="0" borderId="0" xfId="0" applyFont="1" applyAlignment="1">
      <alignment horizontal="left" vertical="top" indent="2"/>
    </xf>
    <xf numFmtId="9" fontId="10" fillId="3" borderId="0" xfId="0" applyNumberFormat="1" applyFont="1" applyFill="1" applyAlignment="1">
      <alignment vertical="top"/>
    </xf>
    <xf numFmtId="9" fontId="10" fillId="3" borderId="7" xfId="0" applyNumberFormat="1" applyFont="1" applyFill="1" applyBorder="1" applyAlignment="1">
      <alignment vertical="top"/>
    </xf>
    <xf numFmtId="0" fontId="11" fillId="0" borderId="0" xfId="0" applyFont="1"/>
    <xf numFmtId="0" fontId="11" fillId="0" borderId="21" xfId="0" applyFont="1" applyBorder="1"/>
    <xf numFmtId="165" fontId="10" fillId="3" borderId="0" xfId="0" applyNumberFormat="1" applyFont="1" applyFill="1" applyAlignment="1">
      <alignment vertical="top"/>
    </xf>
    <xf numFmtId="165" fontId="10" fillId="3" borderId="7" xfId="0" applyNumberFormat="1" applyFont="1" applyFill="1" applyBorder="1" applyAlignment="1">
      <alignment vertical="top"/>
    </xf>
    <xf numFmtId="0" fontId="12" fillId="0" borderId="0" xfId="0" applyFont="1" applyAlignment="1">
      <alignment horizontal="left" vertical="center" indent="1"/>
    </xf>
    <xf numFmtId="0" fontId="9" fillId="3" borderId="0" xfId="0" applyFont="1" applyFill="1" applyBorder="1" applyAlignment="1" applyProtection="1">
      <alignment vertical="center" wrapText="1"/>
      <protection locked="0"/>
    </xf>
    <xf numFmtId="0" fontId="37" fillId="5" borderId="2" xfId="0" applyFont="1" applyFill="1" applyBorder="1" applyAlignment="1" applyProtection="1">
      <alignment vertical="center"/>
      <protection locked="0"/>
    </xf>
    <xf numFmtId="0" fontId="38" fillId="5" borderId="2" xfId="0" applyFont="1" applyFill="1" applyBorder="1" applyAlignment="1" applyProtection="1">
      <alignment vertical="center" wrapText="1"/>
      <protection locked="0"/>
    </xf>
    <xf numFmtId="0" fontId="39" fillId="0" borderId="0" xfId="0" applyFont="1" applyAlignment="1" applyProtection="1">
      <alignment vertical="top"/>
      <protection locked="0"/>
    </xf>
    <xf numFmtId="0" fontId="39" fillId="0" borderId="0" xfId="0" applyFont="1" applyAlignment="1" applyProtection="1">
      <alignment vertical="center"/>
      <protection locked="0"/>
    </xf>
    <xf numFmtId="0" fontId="27" fillId="4" borderId="0" xfId="0" applyFont="1" applyFill="1" applyAlignment="1" applyProtection="1">
      <alignment horizontal="left" vertical="top" wrapText="1"/>
      <protection locked="0"/>
    </xf>
    <xf numFmtId="0" fontId="38" fillId="0" borderId="0" xfId="0" applyFont="1" applyAlignment="1" applyProtection="1">
      <alignment vertical="top"/>
      <protection locked="0"/>
    </xf>
    <xf numFmtId="0" fontId="38" fillId="0" borderId="0" xfId="0" applyFont="1" applyAlignment="1" applyProtection="1">
      <alignment vertical="center"/>
      <protection locked="0"/>
    </xf>
    <xf numFmtId="0" fontId="38" fillId="5" borderId="2" xfId="0" applyFont="1" applyFill="1" applyBorder="1" applyAlignment="1" applyProtection="1">
      <alignment vertical="center"/>
      <protection locked="0"/>
    </xf>
    <xf numFmtId="0" fontId="40" fillId="2" borderId="2" xfId="0" applyFont="1" applyFill="1" applyBorder="1" applyAlignment="1" applyProtection="1">
      <alignment horizontal="right" vertical="top"/>
      <protection locked="0"/>
    </xf>
    <xf numFmtId="0" fontId="40" fillId="2" borderId="9" xfId="0" applyFont="1" applyFill="1" applyBorder="1" applyAlignment="1" applyProtection="1">
      <alignment horizontal="right" vertical="top"/>
      <protection locked="0"/>
    </xf>
    <xf numFmtId="3" fontId="40" fillId="2" borderId="2" xfId="0" applyNumberFormat="1" applyFont="1" applyFill="1" applyBorder="1" applyAlignment="1" applyProtection="1">
      <alignment vertical="top"/>
      <protection locked="0"/>
    </xf>
    <xf numFmtId="3" fontId="40" fillId="2" borderId="9" xfId="0" applyNumberFormat="1" applyFont="1" applyFill="1" applyBorder="1" applyAlignment="1" applyProtection="1">
      <alignment vertical="top"/>
      <protection locked="0"/>
    </xf>
    <xf numFmtId="0" fontId="38" fillId="0" borderId="52" xfId="0" applyFont="1" applyBorder="1" applyAlignment="1" applyProtection="1">
      <alignment vertical="top"/>
      <protection locked="0"/>
    </xf>
    <xf numFmtId="0" fontId="37" fillId="0" borderId="2" xfId="0" applyFont="1" applyBorder="1" applyAlignment="1" applyProtection="1">
      <alignment vertical="top"/>
      <protection locked="0"/>
    </xf>
    <xf numFmtId="0" fontId="37" fillId="0" borderId="9" xfId="0" applyFont="1" applyBorder="1" applyAlignment="1" applyProtection="1">
      <alignment vertical="top"/>
      <protection locked="0"/>
    </xf>
    <xf numFmtId="3" fontId="37" fillId="0" borderId="2" xfId="0" applyNumberFormat="1" applyFont="1" applyBorder="1" applyAlignment="1" applyProtection="1">
      <alignment vertical="top"/>
      <protection locked="0"/>
    </xf>
    <xf numFmtId="3" fontId="37" fillId="0" borderId="9" xfId="0" applyNumberFormat="1" applyFont="1" applyBorder="1" applyAlignment="1" applyProtection="1">
      <alignment vertical="top"/>
      <protection locked="0"/>
    </xf>
    <xf numFmtId="3" fontId="37" fillId="0" borderId="9" xfId="0" applyNumberFormat="1" applyFont="1" applyFill="1" applyBorder="1" applyAlignment="1" applyProtection="1">
      <alignment vertical="top"/>
      <protection locked="0"/>
    </xf>
    <xf numFmtId="9" fontId="38" fillId="0" borderId="2" xfId="1" applyFont="1" applyFill="1" applyBorder="1" applyAlignment="1" applyProtection="1">
      <alignment vertical="top"/>
      <protection locked="0"/>
    </xf>
    <xf numFmtId="0" fontId="37" fillId="0" borderId="1" xfId="0" applyFont="1" applyBorder="1" applyAlignment="1" applyProtection="1">
      <alignment vertical="top"/>
      <protection locked="0"/>
    </xf>
    <xf numFmtId="0" fontId="37" fillId="0" borderId="8" xfId="0" applyFont="1" applyBorder="1" applyAlignment="1" applyProtection="1">
      <alignment vertical="top"/>
      <protection locked="0"/>
    </xf>
    <xf numFmtId="3" fontId="37" fillId="0" borderId="1" xfId="0" applyNumberFormat="1" applyFont="1" applyBorder="1" applyAlignment="1" applyProtection="1">
      <alignment vertical="top"/>
      <protection locked="0"/>
    </xf>
    <xf numFmtId="3" fontId="37" fillId="0" borderId="8" xfId="0" applyNumberFormat="1" applyFont="1" applyBorder="1" applyAlignment="1" applyProtection="1">
      <alignment vertical="top"/>
      <protection locked="0"/>
    </xf>
    <xf numFmtId="3" fontId="37" fillId="0" borderId="8" xfId="0" applyNumberFormat="1" applyFont="1" applyFill="1" applyBorder="1" applyAlignment="1" applyProtection="1">
      <alignment vertical="top"/>
      <protection locked="0"/>
    </xf>
    <xf numFmtId="0" fontId="38" fillId="0" borderId="61" xfId="0" applyFont="1" applyBorder="1" applyAlignment="1" applyProtection="1">
      <alignment vertical="top"/>
      <protection locked="0"/>
    </xf>
    <xf numFmtId="0" fontId="40" fillId="2" borderId="4" xfId="0" applyFont="1" applyFill="1" applyBorder="1" applyAlignment="1" applyProtection="1">
      <alignment horizontal="right" vertical="top"/>
      <protection locked="0"/>
    </xf>
    <xf numFmtId="0" fontId="40" fillId="2" borderId="10" xfId="0" applyFont="1" applyFill="1" applyBorder="1" applyAlignment="1" applyProtection="1">
      <alignment horizontal="right" vertical="top"/>
      <protection locked="0"/>
    </xf>
    <xf numFmtId="3" fontId="43" fillId="2" borderId="4" xfId="0" applyNumberFormat="1" applyFont="1" applyFill="1" applyBorder="1" applyAlignment="1" applyProtection="1">
      <alignment vertical="top"/>
      <protection locked="0"/>
    </xf>
    <xf numFmtId="3" fontId="43" fillId="2" borderId="10" xfId="0" applyNumberFormat="1" applyFont="1" applyFill="1" applyBorder="1" applyAlignment="1" applyProtection="1">
      <alignment vertical="top"/>
      <protection locked="0"/>
    </xf>
    <xf numFmtId="0" fontId="40" fillId="2" borderId="3" xfId="0" applyFont="1" applyFill="1" applyBorder="1" applyAlignment="1" applyProtection="1">
      <alignment horizontal="right" vertical="top"/>
      <protection locked="0"/>
    </xf>
    <xf numFmtId="0" fontId="39" fillId="2" borderId="28" xfId="0" applyFont="1" applyFill="1" applyBorder="1" applyAlignment="1" applyProtection="1">
      <alignment vertical="top"/>
      <protection locked="0"/>
    </xf>
    <xf numFmtId="3" fontId="43" fillId="2" borderId="3" xfId="0" applyNumberFormat="1" applyFont="1" applyFill="1" applyBorder="1" applyAlignment="1" applyProtection="1">
      <alignment vertical="top"/>
      <protection locked="0"/>
    </xf>
    <xf numFmtId="3" fontId="43" fillId="2" borderId="28" xfId="0" applyNumberFormat="1" applyFont="1" applyFill="1" applyBorder="1" applyAlignment="1" applyProtection="1">
      <alignment vertical="top"/>
      <protection locked="0"/>
    </xf>
    <xf numFmtId="0" fontId="39" fillId="0" borderId="0" xfId="0" applyFont="1" applyBorder="1" applyAlignment="1" applyProtection="1">
      <alignment vertical="top"/>
      <protection locked="0"/>
    </xf>
    <xf numFmtId="9" fontId="38" fillId="0" borderId="0" xfId="1" applyFont="1" applyAlignment="1" applyProtection="1">
      <alignment vertical="top"/>
      <protection locked="0"/>
    </xf>
    <xf numFmtId="0" fontId="12" fillId="0" borderId="0" xfId="3" applyFont="1" applyFill="1" applyAlignment="1" applyProtection="1">
      <alignment horizontal="left" vertical="center" wrapText="1"/>
      <protection locked="0"/>
    </xf>
    <xf numFmtId="0" fontId="10" fillId="0" borderId="0" xfId="0" applyFont="1" applyAlignment="1" applyProtection="1">
      <alignment vertical="top" wrapText="1"/>
      <protection locked="0"/>
    </xf>
    <xf numFmtId="0" fontId="41" fillId="0" borderId="52" xfId="0" applyFont="1" applyBorder="1" applyAlignment="1" applyProtection="1">
      <alignment vertical="top" wrapText="1"/>
      <protection locked="0"/>
    </xf>
    <xf numFmtId="0" fontId="15" fillId="0" borderId="61" xfId="0" applyFont="1" applyBorder="1" applyAlignment="1" applyProtection="1">
      <alignment vertical="top" wrapText="1"/>
      <protection locked="0"/>
    </xf>
    <xf numFmtId="0" fontId="41" fillId="0" borderId="61" xfId="0" applyFont="1" applyBorder="1" applyAlignment="1" applyProtection="1">
      <alignment vertical="top" wrapText="1"/>
      <protection locked="0"/>
    </xf>
    <xf numFmtId="0" fontId="10" fillId="0" borderId="0" xfId="0" applyFont="1" applyAlignment="1" applyProtection="1">
      <alignment wrapText="1"/>
      <protection locked="0"/>
    </xf>
    <xf numFmtId="0" fontId="2" fillId="0" borderId="0" xfId="0" applyFont="1" applyAlignment="1" applyProtection="1">
      <alignment wrapText="1"/>
      <protection locked="0"/>
    </xf>
    <xf numFmtId="0" fontId="39" fillId="0" borderId="0" xfId="0" applyFont="1" applyProtection="1">
      <protection locked="0"/>
    </xf>
    <xf numFmtId="0" fontId="12" fillId="0" borderId="27" xfId="0" applyFont="1" applyFill="1" applyBorder="1" applyAlignment="1" applyProtection="1">
      <alignment horizontal="left" vertical="top" wrapText="1"/>
      <protection locked="0"/>
    </xf>
    <xf numFmtId="0" fontId="10" fillId="0" borderId="1" xfId="0" applyFont="1" applyBorder="1" applyAlignment="1" applyProtection="1">
      <alignment vertical="top" wrapText="1"/>
      <protection locked="0"/>
    </xf>
    <xf numFmtId="0" fontId="12" fillId="0" borderId="1" xfId="0" applyFont="1" applyBorder="1" applyAlignment="1" applyProtection="1">
      <alignment vertical="top"/>
      <protection locked="0"/>
    </xf>
    <xf numFmtId="3" fontId="27" fillId="0" borderId="20" xfId="0" applyNumberFormat="1" applyFont="1" applyFill="1" applyBorder="1" applyAlignment="1" applyProtection="1">
      <alignment vertical="top" wrapText="1"/>
      <protection locked="0"/>
    </xf>
    <xf numFmtId="3" fontId="27" fillId="0" borderId="36" xfId="0" applyNumberFormat="1" applyFont="1" applyFill="1" applyBorder="1" applyAlignment="1" applyProtection="1">
      <alignment vertical="top" wrapText="1"/>
      <protection locked="0"/>
    </xf>
    <xf numFmtId="3" fontId="12" fillId="3" borderId="47" xfId="0" applyNumberFormat="1" applyFont="1" applyFill="1" applyBorder="1" applyAlignment="1" applyProtection="1">
      <alignment vertical="top" wrapText="1"/>
      <protection locked="0"/>
    </xf>
    <xf numFmtId="3" fontId="12" fillId="3" borderId="45" xfId="0" applyNumberFormat="1" applyFont="1" applyFill="1" applyBorder="1" applyAlignment="1" applyProtection="1">
      <alignment vertical="top" wrapText="1"/>
      <protection locked="0"/>
    </xf>
    <xf numFmtId="0" fontId="27" fillId="0" borderId="11" xfId="0" applyFont="1" applyBorder="1" applyAlignment="1" applyProtection="1">
      <alignment vertical="top" wrapText="1"/>
      <protection locked="0"/>
    </xf>
    <xf numFmtId="10" fontId="27" fillId="3" borderId="16" xfId="1" applyNumberFormat="1" applyFont="1" applyFill="1" applyBorder="1" applyAlignment="1" applyProtection="1">
      <alignment vertical="top"/>
      <protection locked="0"/>
    </xf>
    <xf numFmtId="10" fontId="27" fillId="3" borderId="42" xfId="1" applyNumberFormat="1" applyFont="1" applyFill="1" applyBorder="1" applyAlignment="1" applyProtection="1">
      <alignment vertical="top"/>
      <protection locked="0"/>
    </xf>
    <xf numFmtId="3" fontId="12" fillId="3" borderId="73" xfId="0" applyNumberFormat="1" applyFont="1" applyFill="1" applyBorder="1" applyAlignment="1" applyProtection="1">
      <alignment vertical="top" wrapText="1"/>
      <protection locked="0"/>
    </xf>
    <xf numFmtId="3" fontId="12" fillId="3" borderId="74" xfId="0" applyNumberFormat="1" applyFont="1" applyFill="1" applyBorder="1" applyAlignment="1" applyProtection="1">
      <alignment vertical="top" wrapText="1"/>
      <protection locked="0"/>
    </xf>
    <xf numFmtId="3" fontId="27" fillId="0" borderId="95" xfId="0" applyNumberFormat="1" applyFont="1" applyBorder="1" applyAlignment="1" applyProtection="1">
      <alignment vertical="top"/>
      <protection locked="0"/>
    </xf>
    <xf numFmtId="9" fontId="12" fillId="0" borderId="20" xfId="1" applyFont="1" applyBorder="1" applyAlignment="1" applyProtection="1">
      <alignment vertical="top" wrapText="1"/>
    </xf>
    <xf numFmtId="0" fontId="12" fillId="4" borderId="41" xfId="0" applyFont="1" applyFill="1" applyBorder="1" applyAlignment="1" applyProtection="1">
      <alignment vertical="center" wrapText="1"/>
      <protection locked="0"/>
    </xf>
    <xf numFmtId="0" fontId="27" fillId="0" borderId="46" xfId="0" applyFont="1" applyFill="1" applyBorder="1" applyAlignment="1" applyProtection="1">
      <alignment vertical="top" wrapText="1"/>
      <protection locked="0"/>
    </xf>
    <xf numFmtId="3" fontId="12" fillId="0" borderId="20" xfId="0" applyNumberFormat="1" applyFont="1" applyFill="1" applyBorder="1" applyAlignment="1" applyProtection="1">
      <alignment vertical="top" wrapText="1"/>
      <protection locked="0"/>
    </xf>
    <xf numFmtId="3" fontId="12" fillId="0" borderId="36" xfId="0" applyNumberFormat="1" applyFont="1" applyFill="1" applyBorder="1" applyAlignment="1" applyProtection="1">
      <alignment vertical="top" wrapText="1"/>
      <protection locked="0"/>
    </xf>
    <xf numFmtId="3" fontId="27" fillId="0" borderId="32" xfId="0" applyNumberFormat="1" applyFont="1" applyBorder="1" applyAlignment="1" applyProtection="1">
      <alignment vertical="top"/>
      <protection locked="0"/>
    </xf>
    <xf numFmtId="10" fontId="27" fillId="3" borderId="79" xfId="1" applyNumberFormat="1" applyFont="1" applyFill="1" applyBorder="1" applyAlignment="1" applyProtection="1">
      <alignment vertical="top"/>
      <protection locked="0"/>
    </xf>
    <xf numFmtId="3" fontId="27" fillId="0" borderId="96" xfId="0" applyNumberFormat="1" applyFont="1" applyBorder="1" applyAlignment="1" applyProtection="1">
      <alignment vertical="top"/>
      <protection locked="0"/>
    </xf>
    <xf numFmtId="9" fontId="12" fillId="0" borderId="83" xfId="1" applyFont="1" applyBorder="1" applyAlignment="1" applyProtection="1">
      <alignment vertical="top" wrapText="1"/>
    </xf>
    <xf numFmtId="0" fontId="27" fillId="0" borderId="19" xfId="0" applyFont="1" applyBorder="1" applyAlignment="1" applyProtection="1">
      <alignment vertical="top" wrapText="1"/>
      <protection locked="0"/>
    </xf>
    <xf numFmtId="0" fontId="27" fillId="0" borderId="19" xfId="0" applyFont="1" applyBorder="1" applyAlignment="1" applyProtection="1">
      <alignment horizontal="left" vertical="top" wrapText="1"/>
      <protection locked="0"/>
    </xf>
    <xf numFmtId="0" fontId="12" fillId="0" borderId="38"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3" fontId="12" fillId="0" borderId="37" xfId="0" applyNumberFormat="1" applyFont="1" applyFill="1" applyBorder="1" applyAlignment="1" applyProtection="1">
      <alignment vertical="top" wrapText="1"/>
      <protection locked="0"/>
    </xf>
    <xf numFmtId="3" fontId="12" fillId="3" borderId="44" xfId="0" applyNumberFormat="1" applyFont="1" applyFill="1" applyBorder="1" applyAlignment="1" applyProtection="1">
      <alignment vertical="top" wrapText="1"/>
      <protection locked="0"/>
    </xf>
    <xf numFmtId="164" fontId="12" fillId="0" borderId="37" xfId="1" applyNumberFormat="1" applyFont="1" applyFill="1" applyBorder="1" applyAlignment="1" applyProtection="1">
      <alignment vertical="top" wrapText="1"/>
    </xf>
    <xf numFmtId="3" fontId="12" fillId="3" borderId="50" xfId="0" applyNumberFormat="1" applyFont="1" applyFill="1" applyBorder="1" applyAlignment="1" applyProtection="1">
      <alignment vertical="top" wrapText="1"/>
      <protection locked="0"/>
    </xf>
    <xf numFmtId="3" fontId="27" fillId="0" borderId="37" xfId="0" applyNumberFormat="1" applyFont="1" applyFill="1" applyBorder="1" applyAlignment="1" applyProtection="1">
      <alignment vertical="top" wrapText="1"/>
      <protection locked="0"/>
    </xf>
    <xf numFmtId="0" fontId="29" fillId="0" borderId="0" xfId="0" applyFont="1" applyBorder="1" applyAlignment="1" applyProtection="1">
      <alignment horizontal="right" vertical="top"/>
      <protection locked="0"/>
    </xf>
    <xf numFmtId="3" fontId="12" fillId="0" borderId="18" xfId="0" applyNumberFormat="1" applyFont="1" applyFill="1" applyBorder="1" applyAlignment="1" applyProtection="1">
      <alignment vertical="top" wrapText="1"/>
      <protection locked="0"/>
    </xf>
    <xf numFmtId="3" fontId="12" fillId="0" borderId="59" xfId="0" applyNumberFormat="1" applyFont="1" applyFill="1" applyBorder="1" applyAlignment="1" applyProtection="1">
      <alignment vertical="top" wrapText="1"/>
      <protection locked="0"/>
    </xf>
    <xf numFmtId="0" fontId="12" fillId="0" borderId="19" xfId="0" applyFont="1" applyFill="1" applyBorder="1" applyAlignment="1" applyProtection="1">
      <alignment horizontal="left" vertical="top" wrapText="1"/>
      <protection locked="0"/>
    </xf>
    <xf numFmtId="0" fontId="27" fillId="0" borderId="15" xfId="0" applyFont="1" applyBorder="1" applyAlignment="1" applyProtection="1">
      <alignment vertical="top" wrapText="1"/>
      <protection locked="0"/>
    </xf>
    <xf numFmtId="0" fontId="27" fillId="0" borderId="46" xfId="0" applyFont="1" applyBorder="1" applyAlignment="1" applyProtection="1">
      <alignment vertical="top" wrapText="1"/>
      <protection locked="0"/>
    </xf>
    <xf numFmtId="0" fontId="27" fillId="0" borderId="15" xfId="0" applyFont="1" applyFill="1" applyBorder="1" applyAlignment="1" applyProtection="1">
      <alignment vertical="top" wrapText="1"/>
      <protection locked="0"/>
    </xf>
    <xf numFmtId="0" fontId="27" fillId="0" borderId="9" xfId="0" applyFont="1" applyBorder="1" applyAlignment="1" applyProtection="1">
      <alignment vertical="top" wrapText="1"/>
      <protection locked="0"/>
    </xf>
    <xf numFmtId="9" fontId="12" fillId="3" borderId="58" xfId="1" applyFont="1" applyFill="1" applyBorder="1" applyAlignment="1" applyProtection="1">
      <alignment vertical="top" wrapText="1"/>
      <protection locked="0"/>
    </xf>
    <xf numFmtId="9" fontId="12" fillId="3" borderId="97" xfId="1" applyFont="1" applyFill="1" applyBorder="1" applyAlignment="1" applyProtection="1">
      <alignment vertical="top" wrapText="1"/>
      <protection locked="0"/>
    </xf>
    <xf numFmtId="9" fontId="12" fillId="3" borderId="88" xfId="1" applyFont="1" applyFill="1" applyBorder="1" applyAlignment="1" applyProtection="1">
      <alignment vertical="top" wrapText="1"/>
      <protection locked="0"/>
    </xf>
    <xf numFmtId="0" fontId="12" fillId="12" borderId="18" xfId="0" applyFont="1" applyFill="1" applyBorder="1" applyAlignment="1" applyProtection="1">
      <alignment vertical="top" wrapText="1"/>
      <protection locked="0"/>
    </xf>
    <xf numFmtId="164" fontId="27" fillId="12" borderId="60" xfId="1" applyNumberFormat="1" applyFont="1" applyFill="1" applyBorder="1" applyAlignment="1" applyProtection="1">
      <alignment vertical="top" wrapText="1"/>
    </xf>
    <xf numFmtId="3" fontId="27" fillId="0" borderId="51" xfId="0" applyNumberFormat="1" applyFont="1" applyFill="1" applyBorder="1" applyAlignment="1" applyProtection="1">
      <alignment vertical="top"/>
    </xf>
    <xf numFmtId="3" fontId="27" fillId="12" borderId="60" xfId="0" applyNumberFormat="1" applyFont="1" applyFill="1" applyBorder="1" applyAlignment="1" applyProtection="1">
      <alignment vertical="top"/>
    </xf>
    <xf numFmtId="9" fontId="12" fillId="0" borderId="84" xfId="1" applyFont="1" applyBorder="1" applyAlignment="1" applyProtection="1">
      <alignment vertical="top" wrapText="1"/>
    </xf>
    <xf numFmtId="9" fontId="12" fillId="0" borderId="85" xfId="1" applyFont="1" applyBorder="1" applyAlignment="1" applyProtection="1">
      <alignment vertical="top" wrapText="1"/>
    </xf>
    <xf numFmtId="164" fontId="12" fillId="12" borderId="14" xfId="1" applyNumberFormat="1" applyFont="1" applyFill="1" applyBorder="1" applyAlignment="1" applyProtection="1">
      <alignment vertical="top" wrapText="1"/>
    </xf>
    <xf numFmtId="10" fontId="12" fillId="12" borderId="14" xfId="1" applyNumberFormat="1" applyFont="1" applyFill="1" applyBorder="1" applyAlignment="1" applyProtection="1">
      <alignment vertical="top" wrapText="1"/>
    </xf>
    <xf numFmtId="164" fontId="27" fillId="12" borderId="18" xfId="1" applyNumberFormat="1" applyFont="1" applyFill="1" applyBorder="1" applyAlignment="1" applyProtection="1">
      <alignment vertical="top" wrapText="1"/>
    </xf>
    <xf numFmtId="3" fontId="27" fillId="12" borderId="32" xfId="0" applyNumberFormat="1" applyFont="1" applyFill="1" applyBorder="1" applyAlignment="1" applyProtection="1">
      <alignment vertical="top" wrapText="1"/>
      <protection locked="0"/>
    </xf>
    <xf numFmtId="3" fontId="12" fillId="12" borderId="60" xfId="0" applyNumberFormat="1" applyFont="1" applyFill="1" applyBorder="1" applyAlignment="1" applyProtection="1">
      <alignment vertical="top" wrapText="1"/>
      <protection locked="0"/>
    </xf>
    <xf numFmtId="10" fontId="27" fillId="12" borderId="14" xfId="1" applyNumberFormat="1" applyFont="1" applyFill="1" applyBorder="1" applyAlignment="1" applyProtection="1">
      <alignment vertical="top"/>
      <protection locked="0"/>
    </xf>
    <xf numFmtId="164" fontId="27" fillId="12" borderId="32" xfId="1" applyNumberFormat="1" applyFont="1" applyFill="1" applyBorder="1" applyAlignment="1" applyProtection="1">
      <alignment vertical="top" wrapText="1"/>
      <protection locked="0"/>
    </xf>
    <xf numFmtId="3" fontId="12" fillId="12" borderId="14" xfId="0" applyNumberFormat="1" applyFont="1" applyFill="1" applyBorder="1" applyAlignment="1" applyProtection="1">
      <alignment vertical="top" wrapText="1"/>
      <protection locked="0"/>
    </xf>
    <xf numFmtId="3" fontId="27" fillId="12" borderId="18" xfId="0" applyNumberFormat="1" applyFont="1" applyFill="1" applyBorder="1" applyAlignment="1" applyProtection="1">
      <alignment vertical="top" wrapText="1"/>
      <protection locked="0"/>
    </xf>
    <xf numFmtId="9" fontId="12" fillId="12" borderId="32" xfId="0" applyNumberFormat="1" applyFont="1" applyFill="1" applyBorder="1" applyAlignment="1" applyProtection="1">
      <alignment horizontal="right" vertical="top"/>
      <protection locked="0"/>
    </xf>
    <xf numFmtId="3" fontId="27" fillId="12" borderId="60" xfId="0" applyNumberFormat="1" applyFont="1" applyFill="1" applyBorder="1" applyAlignment="1" applyProtection="1">
      <alignment vertical="top"/>
      <protection locked="0"/>
    </xf>
    <xf numFmtId="0" fontId="12" fillId="0" borderId="3" xfId="0" applyFont="1" applyFill="1" applyBorder="1" applyAlignment="1" applyProtection="1">
      <alignment vertical="top" wrapText="1"/>
      <protection locked="0"/>
    </xf>
    <xf numFmtId="0" fontId="12" fillId="0" borderId="6" xfId="0" applyFont="1" applyFill="1" applyBorder="1" applyAlignment="1" applyProtection="1">
      <alignment vertical="top" wrapText="1"/>
      <protection locked="0"/>
    </xf>
    <xf numFmtId="0" fontId="12" fillId="0" borderId="41" xfId="0" applyFont="1" applyFill="1" applyBorder="1" applyAlignment="1" applyProtection="1">
      <alignment vertical="top" wrapText="1"/>
      <protection locked="0"/>
    </xf>
    <xf numFmtId="0" fontId="12" fillId="0" borderId="80" xfId="0" applyFont="1" applyFill="1" applyBorder="1" applyAlignment="1" applyProtection="1">
      <alignment vertical="top" wrapText="1"/>
      <protection locked="0"/>
    </xf>
    <xf numFmtId="0" fontId="27" fillId="0" borderId="38" xfId="0" applyFont="1" applyBorder="1" applyAlignment="1" applyProtection="1">
      <alignment vertical="top" wrapText="1"/>
      <protection locked="0"/>
    </xf>
    <xf numFmtId="3" fontId="27" fillId="3" borderId="52" xfId="0" applyNumberFormat="1" applyFont="1" applyFill="1" applyBorder="1" applyAlignment="1" applyProtection="1">
      <alignment vertical="top"/>
      <protection locked="0"/>
    </xf>
    <xf numFmtId="9" fontId="27" fillId="0" borderId="59" xfId="1" applyFont="1" applyFill="1" applyBorder="1" applyAlignment="1" applyProtection="1">
      <alignment vertical="top" wrapText="1"/>
    </xf>
    <xf numFmtId="3" fontId="40" fillId="2" borderId="7" xfId="0" applyNumberFormat="1" applyFont="1" applyFill="1" applyBorder="1" applyAlignment="1" applyProtection="1">
      <alignment vertical="top"/>
      <protection locked="0"/>
    </xf>
    <xf numFmtId="3" fontId="37" fillId="0" borderId="7" xfId="0" applyNumberFormat="1" applyFont="1" applyFill="1" applyBorder="1" applyAlignment="1" applyProtection="1">
      <alignment vertical="top"/>
      <protection locked="0"/>
    </xf>
    <xf numFmtId="3" fontId="9" fillId="0" borderId="9" xfId="0" applyNumberFormat="1" applyFont="1" applyFill="1" applyBorder="1" applyAlignment="1" applyProtection="1">
      <alignment vertical="center" wrapText="1"/>
      <protection locked="0"/>
    </xf>
    <xf numFmtId="3" fontId="9" fillId="0" borderId="9" xfId="0" applyNumberFormat="1" applyFont="1" applyFill="1" applyBorder="1" applyAlignment="1" applyProtection="1">
      <alignment vertical="center"/>
      <protection locked="0"/>
    </xf>
    <xf numFmtId="0" fontId="18" fillId="0" borderId="64" xfId="0" applyFont="1" applyBorder="1" applyAlignment="1">
      <alignment vertical="top"/>
    </xf>
    <xf numFmtId="0" fontId="10" fillId="0" borderId="4" xfId="0" applyFont="1" applyBorder="1" applyAlignment="1">
      <alignment vertical="top"/>
    </xf>
    <xf numFmtId="0" fontId="10" fillId="0" borderId="98" xfId="0" applyFont="1" applyBorder="1" applyAlignment="1">
      <alignment vertical="top"/>
    </xf>
    <xf numFmtId="0" fontId="18" fillId="0" borderId="4" xfId="0" applyFont="1" applyBorder="1" applyAlignment="1">
      <alignment vertical="top"/>
    </xf>
    <xf numFmtId="0" fontId="10" fillId="0" borderId="10" xfId="0" applyFont="1" applyBorder="1" applyAlignment="1">
      <alignment vertical="top"/>
    </xf>
    <xf numFmtId="0" fontId="9" fillId="0" borderId="48" xfId="0" applyFont="1" applyBorder="1" applyAlignment="1">
      <alignment vertical="top"/>
    </xf>
    <xf numFmtId="0" fontId="9" fillId="0" borderId="99" xfId="0" applyFont="1" applyBorder="1" applyAlignment="1">
      <alignment vertical="top"/>
    </xf>
    <xf numFmtId="0" fontId="44" fillId="0" borderId="0" xfId="0" applyFont="1" applyBorder="1" applyAlignment="1">
      <alignment horizontal="left" vertical="top"/>
    </xf>
    <xf numFmtId="0" fontId="10" fillId="0" borderId="48" xfId="0" applyFont="1" applyBorder="1" applyAlignment="1">
      <alignment vertical="top"/>
    </xf>
    <xf numFmtId="0" fontId="32" fillId="3" borderId="100" xfId="4" applyFont="1" applyFill="1" applyBorder="1" applyAlignment="1" applyProtection="1">
      <alignment vertical="top" wrapText="1"/>
      <protection locked="0"/>
    </xf>
    <xf numFmtId="0" fontId="10" fillId="0" borderId="1" xfId="0" applyFont="1" applyBorder="1" applyAlignment="1">
      <alignment vertical="top"/>
    </xf>
    <xf numFmtId="0" fontId="10" fillId="5" borderId="2" xfId="0" applyFont="1" applyFill="1" applyBorder="1" applyAlignment="1" applyProtection="1">
      <alignment vertical="center" wrapText="1"/>
      <protection locked="0"/>
    </xf>
    <xf numFmtId="0" fontId="9" fillId="5" borderId="2" xfId="0" applyFont="1" applyFill="1" applyBorder="1" applyAlignment="1" applyProtection="1">
      <alignment vertical="center"/>
      <protection locked="0"/>
    </xf>
    <xf numFmtId="0" fontId="10" fillId="0" borderId="0" xfId="0" applyFont="1" applyAlignment="1" applyProtection="1">
      <alignment vertical="center"/>
      <protection locked="0"/>
    </xf>
    <xf numFmtId="0" fontId="32" fillId="4" borderId="52" xfId="4" applyFont="1" applyFill="1" applyBorder="1" applyAlignment="1" applyProtection="1">
      <alignment vertical="top" wrapText="1"/>
      <protection locked="0"/>
    </xf>
    <xf numFmtId="0" fontId="45" fillId="0" borderId="0" xfId="4" applyFont="1" applyFill="1" applyProtection="1">
      <protection locked="0"/>
    </xf>
    <xf numFmtId="0" fontId="9" fillId="5" borderId="90" xfId="4" applyFont="1" applyFill="1" applyBorder="1" applyAlignment="1" applyProtection="1">
      <alignment horizontal="center" vertical="center" wrapText="1"/>
      <protection locked="0"/>
    </xf>
    <xf numFmtId="0" fontId="27" fillId="0" borderId="41" xfId="0" applyFont="1" applyBorder="1" applyAlignment="1" applyProtection="1">
      <alignment vertical="top" wrapText="1"/>
      <protection locked="0"/>
    </xf>
    <xf numFmtId="0" fontId="10" fillId="4" borderId="41" xfId="0" applyFont="1" applyFill="1" applyBorder="1" applyProtection="1">
      <protection locked="0"/>
    </xf>
    <xf numFmtId="0" fontId="9" fillId="0" borderId="71" xfId="0" applyFont="1" applyFill="1" applyBorder="1" applyAlignment="1" applyProtection="1">
      <alignment horizontal="left" vertical="center"/>
      <protection locked="0"/>
    </xf>
    <xf numFmtId="3" fontId="12" fillId="0" borderId="22" xfId="0" applyNumberFormat="1" applyFont="1" applyBorder="1" applyAlignment="1" applyProtection="1">
      <alignment vertical="top"/>
    </xf>
    <xf numFmtId="3" fontId="12" fillId="0" borderId="66" xfId="0" applyNumberFormat="1" applyFont="1" applyBorder="1" applyAlignment="1" applyProtection="1">
      <alignment vertical="top"/>
    </xf>
    <xf numFmtId="9" fontId="12" fillId="0" borderId="73" xfId="1" applyFont="1" applyBorder="1" applyAlignment="1" applyProtection="1">
      <alignment vertical="top" wrapText="1"/>
    </xf>
    <xf numFmtId="9" fontId="12" fillId="0" borderId="69" xfId="1" applyFont="1" applyBorder="1" applyAlignment="1" applyProtection="1">
      <alignment vertical="top" wrapText="1"/>
    </xf>
    <xf numFmtId="9" fontId="12" fillId="0" borderId="16" xfId="1" applyFont="1" applyBorder="1" applyAlignment="1" applyProtection="1">
      <alignment vertical="top" wrapText="1"/>
    </xf>
    <xf numFmtId="9" fontId="12" fillId="0" borderId="26" xfId="1" applyFont="1" applyBorder="1" applyAlignment="1" applyProtection="1">
      <alignment vertical="top" wrapText="1"/>
    </xf>
    <xf numFmtId="164" fontId="12" fillId="0" borderId="20" xfId="1" applyNumberFormat="1" applyFont="1" applyFill="1" applyBorder="1" applyAlignment="1" applyProtection="1">
      <alignment vertical="top" wrapText="1"/>
    </xf>
    <xf numFmtId="9" fontId="12" fillId="0" borderId="101" xfId="1" applyFont="1" applyBorder="1" applyAlignment="1" applyProtection="1">
      <alignment vertical="top" wrapText="1"/>
    </xf>
    <xf numFmtId="9" fontId="12" fillId="0" borderId="72" xfId="1" applyFont="1" applyBorder="1" applyAlignment="1" applyProtection="1">
      <alignment vertical="top" wrapText="1"/>
    </xf>
    <xf numFmtId="164" fontId="12" fillId="0" borderId="0" xfId="1" applyNumberFormat="1"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3" fontId="12" fillId="0" borderId="21" xfId="0" applyNumberFormat="1" applyFont="1" applyBorder="1" applyAlignment="1" applyProtection="1">
      <alignment horizontal="right" vertical="center" wrapText="1"/>
      <protection locked="0"/>
    </xf>
    <xf numFmtId="164" fontId="12" fillId="0" borderId="3" xfId="1" applyNumberFormat="1" applyFont="1" applyBorder="1" applyAlignment="1" applyProtection="1">
      <alignment horizontal="left" vertical="center"/>
      <protection locked="0"/>
    </xf>
    <xf numFmtId="3" fontId="12" fillId="0" borderId="18" xfId="0" applyNumberFormat="1" applyFont="1" applyBorder="1" applyAlignment="1" applyProtection="1">
      <alignment horizontal="right" vertical="center" wrapText="1"/>
      <protection locked="0"/>
    </xf>
    <xf numFmtId="9" fontId="12" fillId="3" borderId="41" xfId="1" applyFont="1" applyFill="1" applyBorder="1" applyProtection="1">
      <protection locked="0"/>
    </xf>
    <xf numFmtId="9" fontId="38" fillId="5" borderId="2" xfId="1" applyFont="1" applyFill="1" applyBorder="1" applyAlignment="1" applyProtection="1">
      <alignment vertical="center" wrapText="1"/>
      <protection locked="0"/>
    </xf>
    <xf numFmtId="9" fontId="27" fillId="0" borderId="2" xfId="1" applyFont="1" applyBorder="1" applyAlignment="1" applyProtection="1">
      <alignment horizontal="left" vertical="center" wrapText="1"/>
      <protection locked="0"/>
    </xf>
    <xf numFmtId="9" fontId="12" fillId="0" borderId="0" xfId="1" applyFont="1" applyFill="1" applyBorder="1" applyProtection="1">
      <protection locked="0"/>
    </xf>
    <xf numFmtId="3" fontId="12" fillId="0" borderId="1" xfId="0" applyNumberFormat="1" applyFont="1" applyBorder="1" applyAlignment="1" applyProtection="1">
      <alignment vertical="top" wrapText="1"/>
      <protection locked="0"/>
    </xf>
    <xf numFmtId="3" fontId="27" fillId="0" borderId="0" xfId="0" applyNumberFormat="1" applyFont="1" applyBorder="1" applyAlignment="1" applyProtection="1">
      <alignment horizontal="left" vertical="center"/>
      <protection locked="0"/>
    </xf>
    <xf numFmtId="3" fontId="12" fillId="0" borderId="0" xfId="0" applyNumberFormat="1" applyFont="1" applyBorder="1" applyAlignment="1" applyProtection="1">
      <alignment horizontal="right" vertical="center" wrapText="1"/>
      <protection locked="0"/>
    </xf>
    <xf numFmtId="0" fontId="46" fillId="0" borderId="0" xfId="0" applyFont="1" applyFill="1" applyAlignment="1" applyProtection="1">
      <alignment horizontal="left" vertical="top" wrapText="1"/>
      <protection locked="0"/>
    </xf>
    <xf numFmtId="3" fontId="27" fillId="0" borderId="41" xfId="0" applyNumberFormat="1" applyFont="1" applyBorder="1" applyAlignment="1" applyProtection="1">
      <alignment horizontal="left" vertical="center"/>
      <protection locked="0"/>
    </xf>
    <xf numFmtId="164" fontId="12" fillId="0" borderId="41" xfId="1" applyNumberFormat="1"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3" fontId="12" fillId="0" borderId="36" xfId="0" applyNumberFormat="1" applyFont="1" applyBorder="1" applyAlignment="1" applyProtection="1">
      <alignment horizontal="right" vertical="center" wrapText="1"/>
      <protection locked="0"/>
    </xf>
    <xf numFmtId="0" fontId="27"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center" indent="1"/>
      <protection locked="0"/>
    </xf>
    <xf numFmtId="0" fontId="12" fillId="0" borderId="5" xfId="0" applyFont="1" applyBorder="1" applyAlignment="1" applyProtection="1">
      <alignment horizontal="left" vertical="center" indent="1"/>
      <protection locked="0"/>
    </xf>
    <xf numFmtId="3" fontId="12" fillId="0" borderId="16" xfId="0" applyNumberFormat="1" applyFont="1" applyBorder="1" applyProtection="1">
      <protection locked="0"/>
    </xf>
    <xf numFmtId="3" fontId="12" fillId="3" borderId="10" xfId="0" applyNumberFormat="1" applyFont="1" applyFill="1" applyBorder="1" applyAlignment="1" applyProtection="1">
      <alignment vertical="top"/>
      <protection locked="0"/>
    </xf>
    <xf numFmtId="0" fontId="46" fillId="0" borderId="0" xfId="0" applyFont="1" applyFill="1" applyBorder="1" applyAlignment="1" applyProtection="1">
      <alignment horizontal="left" vertical="top" wrapText="1"/>
      <protection locked="0"/>
    </xf>
    <xf numFmtId="3" fontId="12" fillId="3" borderId="68" xfId="0" applyNumberFormat="1" applyFont="1" applyFill="1" applyBorder="1" applyAlignment="1" applyProtection="1">
      <alignment vertical="top" wrapText="1"/>
      <protection locked="0"/>
    </xf>
    <xf numFmtId="3" fontId="12" fillId="3" borderId="70" xfId="0" applyNumberFormat="1" applyFont="1" applyFill="1" applyBorder="1" applyAlignment="1" applyProtection="1">
      <alignment vertical="top" wrapText="1"/>
      <protection locked="0"/>
    </xf>
    <xf numFmtId="3" fontId="12" fillId="3" borderId="102" xfId="0" applyNumberFormat="1" applyFont="1" applyFill="1" applyBorder="1" applyAlignment="1" applyProtection="1">
      <alignment vertical="top" wrapText="1"/>
      <protection locked="0"/>
    </xf>
    <xf numFmtId="3" fontId="27" fillId="3" borderId="20" xfId="0" applyNumberFormat="1" applyFont="1" applyFill="1" applyBorder="1" applyAlignment="1" applyProtection="1">
      <alignment vertical="top" wrapText="1"/>
      <protection locked="0"/>
    </xf>
    <xf numFmtId="3" fontId="27" fillId="3" borderId="36" xfId="0" applyNumberFormat="1" applyFont="1" applyFill="1" applyBorder="1" applyAlignment="1" applyProtection="1">
      <alignment vertical="top" wrapText="1"/>
      <protection locked="0"/>
    </xf>
    <xf numFmtId="3" fontId="27" fillId="3" borderId="66" xfId="0" applyNumberFormat="1" applyFont="1" applyFill="1" applyBorder="1" applyAlignment="1" applyProtection="1">
      <alignment vertical="top" wrapText="1"/>
      <protection locked="0"/>
    </xf>
    <xf numFmtId="3" fontId="11" fillId="0" borderId="5" xfId="0" applyNumberFormat="1" applyFont="1" applyBorder="1" applyProtection="1">
      <protection locked="0"/>
    </xf>
    <xf numFmtId="3" fontId="27" fillId="0" borderId="71" xfId="0" applyNumberFormat="1" applyFont="1" applyBorder="1" applyAlignment="1" applyProtection="1">
      <alignment vertical="top"/>
      <protection locked="0"/>
    </xf>
    <xf numFmtId="3" fontId="12" fillId="0" borderId="71" xfId="0" applyNumberFormat="1" applyFont="1" applyBorder="1" applyProtection="1">
      <protection locked="0"/>
    </xf>
    <xf numFmtId="9" fontId="12" fillId="0" borderId="71" xfId="1" applyFont="1" applyFill="1" applyBorder="1" applyProtection="1">
      <protection locked="0"/>
    </xf>
    <xf numFmtId="3" fontId="27" fillId="0" borderId="102" xfId="0" applyNumberFormat="1" applyFont="1" applyBorder="1" applyProtection="1">
      <protection locked="0"/>
    </xf>
    <xf numFmtId="3" fontId="12" fillId="0" borderId="102" xfId="0" applyNumberFormat="1" applyFont="1" applyBorder="1" applyAlignment="1" applyProtection="1">
      <alignment vertical="top" wrapText="1"/>
      <protection locked="0"/>
    </xf>
    <xf numFmtId="9" fontId="12" fillId="3" borderId="5" xfId="1" applyFont="1" applyFill="1" applyBorder="1" applyProtection="1">
      <protection locked="0"/>
    </xf>
    <xf numFmtId="0" fontId="9" fillId="0" borderId="1" xfId="0" applyFont="1" applyBorder="1" applyAlignment="1" applyProtection="1">
      <alignment vertical="center" wrapText="1"/>
      <protection locked="0"/>
    </xf>
    <xf numFmtId="3" fontId="9" fillId="0" borderId="2" xfId="0" applyNumberFormat="1" applyFont="1" applyFill="1" applyBorder="1" applyAlignment="1" applyProtection="1">
      <alignment vertical="center" wrapText="1"/>
      <protection locked="0"/>
    </xf>
    <xf numFmtId="0" fontId="38" fillId="0" borderId="0" xfId="0" applyFont="1" applyBorder="1" applyAlignment="1" applyProtection="1">
      <alignment vertical="top"/>
      <protection locked="0"/>
    </xf>
    <xf numFmtId="0" fontId="32" fillId="0" borderId="51" xfId="4" applyFont="1" applyFill="1" applyBorder="1" applyAlignment="1" applyProtection="1">
      <alignment horizontal="left" vertical="top" wrapText="1"/>
      <protection locked="0"/>
    </xf>
    <xf numFmtId="0" fontId="32" fillId="0" borderId="52" xfId="4" applyFont="1" applyFill="1" applyBorder="1" applyAlignment="1" applyProtection="1">
      <alignment horizontal="left" vertical="top" wrapText="1"/>
      <protection locked="0"/>
    </xf>
    <xf numFmtId="165" fontId="12" fillId="3" borderId="7" xfId="0" applyNumberFormat="1" applyFont="1" applyFill="1" applyBorder="1" applyAlignment="1" applyProtection="1">
      <alignment vertical="top"/>
      <protection locked="0"/>
    </xf>
    <xf numFmtId="3" fontId="12" fillId="0" borderId="0" xfId="0" applyNumberFormat="1" applyFont="1" applyFill="1" applyBorder="1" applyAlignment="1" applyProtection="1">
      <alignment vertical="top"/>
      <protection locked="0"/>
    </xf>
    <xf numFmtId="4" fontId="32" fillId="3" borderId="103" xfId="4" applyNumberFormat="1" applyFont="1" applyFill="1" applyBorder="1" applyAlignment="1" applyProtection="1">
      <alignment vertical="top" wrapText="1"/>
      <protection locked="0"/>
    </xf>
    <xf numFmtId="14" fontId="32" fillId="3" borderId="9" xfId="4" applyNumberFormat="1" applyFont="1" applyFill="1" applyBorder="1" applyAlignment="1" applyProtection="1">
      <alignment vertical="top" wrapText="1"/>
      <protection locked="0"/>
    </xf>
    <xf numFmtId="0" fontId="32" fillId="3" borderId="104" xfId="4" applyFont="1" applyFill="1" applyBorder="1" applyAlignment="1" applyProtection="1">
      <alignment vertical="top" wrapText="1"/>
      <protection locked="0"/>
    </xf>
    <xf numFmtId="0" fontId="32" fillId="3" borderId="105" xfId="4" applyFont="1" applyFill="1" applyBorder="1" applyAlignment="1" applyProtection="1">
      <alignment vertical="top" wrapText="1"/>
      <protection locked="0"/>
    </xf>
    <xf numFmtId="0" fontId="12" fillId="4" borderId="22" xfId="0" applyFont="1" applyFill="1" applyBorder="1" applyAlignment="1" applyProtection="1">
      <alignment vertical="top" wrapText="1"/>
      <protection locked="0"/>
    </xf>
    <xf numFmtId="0" fontId="12" fillId="0" borderId="18" xfId="0" applyFont="1" applyFill="1" applyBorder="1" applyAlignment="1" applyProtection="1">
      <alignment vertical="top" wrapText="1"/>
      <protection locked="0"/>
    </xf>
    <xf numFmtId="0" fontId="10" fillId="0" borderId="2" xfId="0" quotePrefix="1" applyFont="1" applyFill="1" applyBorder="1" applyAlignment="1" applyProtection="1">
      <alignment vertical="top" wrapText="1"/>
      <protection locked="0"/>
    </xf>
    <xf numFmtId="0" fontId="10" fillId="0" borderId="2" xfId="0" quotePrefix="1" applyFont="1" applyFill="1" applyBorder="1" applyAlignment="1" applyProtection="1">
      <alignment vertical="top"/>
      <protection locked="0"/>
    </xf>
    <xf numFmtId="0" fontId="37" fillId="5" borderId="2" xfId="0" applyFont="1" applyFill="1" applyBorder="1" applyAlignment="1" applyProtection="1">
      <alignment vertical="center" wrapText="1"/>
      <protection locked="0"/>
    </xf>
    <xf numFmtId="3" fontId="9" fillId="0" borderId="3" xfId="0" applyNumberFormat="1" applyFont="1" applyBorder="1" applyAlignment="1" applyProtection="1">
      <alignment horizontal="left" vertical="top"/>
      <protection locked="0"/>
    </xf>
    <xf numFmtId="0" fontId="10"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protection locked="0"/>
    </xf>
    <xf numFmtId="0" fontId="12" fillId="0" borderId="5" xfId="0" applyFont="1" applyFill="1" applyBorder="1" applyAlignment="1" applyProtection="1">
      <alignment horizontal="left" vertical="center"/>
      <protection locked="0"/>
    </xf>
    <xf numFmtId="3" fontId="12" fillId="0" borderId="21" xfId="0" applyNumberFormat="1" applyFont="1" applyFill="1" applyBorder="1" applyProtection="1">
      <protection locked="0"/>
    </xf>
    <xf numFmtId="3" fontId="27" fillId="0" borderId="9" xfId="0" applyNumberFormat="1" applyFont="1" applyFill="1" applyBorder="1" applyAlignment="1" applyProtection="1">
      <alignment horizontal="left" vertical="top" wrapText="1"/>
      <protection locked="0"/>
    </xf>
    <xf numFmtId="3" fontId="27" fillId="0" borderId="18" xfId="0" applyNumberFormat="1" applyFont="1" applyBorder="1" applyAlignment="1" applyProtection="1">
      <alignment vertical="top"/>
      <protection locked="0"/>
    </xf>
    <xf numFmtId="3" fontId="27" fillId="0" borderId="106" xfId="0" applyNumberFormat="1" applyFont="1" applyBorder="1" applyAlignment="1" applyProtection="1">
      <alignment vertical="top"/>
      <protection locked="0"/>
    </xf>
    <xf numFmtId="0" fontId="10" fillId="0" borderId="0" xfId="0" applyFont="1" applyBorder="1" applyAlignment="1" applyProtection="1">
      <alignment horizontal="left" vertical="top" wrapText="1"/>
      <protection locked="0"/>
    </xf>
    <xf numFmtId="3" fontId="12" fillId="0" borderId="51" xfId="0" applyNumberFormat="1" applyFont="1" applyFill="1" applyBorder="1" applyAlignment="1" applyProtection="1">
      <alignment vertical="top" wrapText="1"/>
      <protection locked="0"/>
    </xf>
    <xf numFmtId="3" fontId="12" fillId="0" borderId="61" xfId="0" applyNumberFormat="1" applyFont="1" applyFill="1" applyBorder="1" applyAlignment="1" applyProtection="1">
      <alignment vertical="top" wrapText="1"/>
      <protection locked="0"/>
    </xf>
    <xf numFmtId="3" fontId="12" fillId="0" borderId="61" xfId="1" applyNumberFormat="1" applyFont="1" applyFill="1" applyBorder="1" applyProtection="1">
      <protection locked="0"/>
    </xf>
    <xf numFmtId="3" fontId="12" fillId="0" borderId="69" xfId="1" applyNumberFormat="1" applyFont="1" applyFill="1" applyBorder="1" applyProtection="1">
      <protection locked="0"/>
    </xf>
    <xf numFmtId="3" fontId="12" fillId="0" borderId="0" xfId="0" applyNumberFormat="1" applyFont="1" applyBorder="1" applyAlignment="1" applyProtection="1">
      <alignment vertical="top" wrapText="1"/>
      <protection locked="0"/>
    </xf>
    <xf numFmtId="3" fontId="12" fillId="2" borderId="9" xfId="0" applyNumberFormat="1" applyFont="1" applyFill="1" applyBorder="1" applyProtection="1">
      <protection locked="0"/>
    </xf>
    <xf numFmtId="3" fontId="9" fillId="0" borderId="107" xfId="0" applyNumberFormat="1" applyFont="1" applyBorder="1" applyAlignment="1" applyProtection="1">
      <alignment horizontal="left" vertical="top"/>
      <protection locked="0"/>
    </xf>
    <xf numFmtId="3" fontId="27" fillId="0" borderId="108" xfId="0" applyNumberFormat="1" applyFont="1" applyBorder="1" applyAlignment="1" applyProtection="1">
      <alignment horizontal="right" vertical="center"/>
      <protection locked="0"/>
    </xf>
    <xf numFmtId="3" fontId="27" fillId="0" borderId="68" xfId="0" applyNumberFormat="1" applyFont="1" applyBorder="1" applyAlignment="1" applyProtection="1">
      <alignment horizontal="right" vertical="center"/>
      <protection locked="0"/>
    </xf>
    <xf numFmtId="3" fontId="27" fillId="0" borderId="23" xfId="0" applyNumberFormat="1" applyFont="1" applyBorder="1" applyAlignment="1" applyProtection="1">
      <alignment horizontal="right" vertical="center"/>
      <protection locked="0"/>
    </xf>
    <xf numFmtId="3" fontId="27" fillId="0" borderId="7" xfId="0" applyNumberFormat="1" applyFont="1" applyBorder="1" applyAlignment="1" applyProtection="1">
      <alignment horizontal="right" vertical="center"/>
      <protection locked="0"/>
    </xf>
    <xf numFmtId="0" fontId="12" fillId="0" borderId="109" xfId="0" applyFont="1" applyBorder="1" applyAlignment="1" applyProtection="1">
      <alignment horizontal="right" vertical="center"/>
      <protection locked="0"/>
    </xf>
    <xf numFmtId="3" fontId="27" fillId="0" borderId="70" xfId="0" applyNumberFormat="1" applyFont="1" applyBorder="1" applyAlignment="1" applyProtection="1">
      <alignment horizontal="right" vertical="center"/>
      <protection locked="0"/>
    </xf>
    <xf numFmtId="3" fontId="10" fillId="0" borderId="6" xfId="0" applyNumberFormat="1" applyFont="1" applyBorder="1" applyAlignment="1" applyProtection="1">
      <alignment horizontal="right" vertical="center"/>
      <protection locked="0"/>
    </xf>
    <xf numFmtId="3" fontId="10" fillId="0" borderId="3" xfId="0" applyNumberFormat="1" applyFont="1" applyBorder="1" applyAlignment="1" applyProtection="1">
      <alignment horizontal="right" vertical="center"/>
      <protection locked="0"/>
    </xf>
    <xf numFmtId="3" fontId="10" fillId="0" borderId="0" xfId="0" applyNumberFormat="1" applyFont="1" applyBorder="1" applyAlignment="1" applyProtection="1">
      <alignment horizontal="right" vertical="center"/>
      <protection locked="0"/>
    </xf>
    <xf numFmtId="3" fontId="10" fillId="0" borderId="41" xfId="0" applyNumberFormat="1" applyFont="1" applyBorder="1" applyAlignment="1" applyProtection="1">
      <alignment horizontal="right" vertical="center"/>
      <protection locked="0"/>
    </xf>
    <xf numFmtId="3" fontId="10" fillId="0" borderId="5" xfId="0" applyNumberFormat="1" applyFont="1" applyBorder="1" applyAlignment="1" applyProtection="1">
      <alignment horizontal="right" vertical="center"/>
      <protection locked="0"/>
    </xf>
    <xf numFmtId="3" fontId="12" fillId="0" borderId="6" xfId="0" applyNumberFormat="1" applyFont="1" applyBorder="1" applyAlignment="1" applyProtection="1">
      <alignment horizontal="left" vertical="center"/>
      <protection locked="0"/>
    </xf>
    <xf numFmtId="3" fontId="12" fillId="0" borderId="3" xfId="0" applyNumberFormat="1" applyFont="1" applyBorder="1" applyAlignment="1" applyProtection="1">
      <alignment horizontal="left" vertical="center"/>
      <protection locked="0"/>
    </xf>
    <xf numFmtId="0" fontId="12" fillId="0" borderId="110" xfId="0" applyFont="1" applyBorder="1" applyAlignment="1" applyProtection="1">
      <alignment horizontal="right" vertical="center"/>
      <protection locked="0"/>
    </xf>
    <xf numFmtId="0" fontId="12" fillId="0" borderId="48" xfId="0" applyFont="1" applyBorder="1" applyAlignment="1" applyProtection="1">
      <alignment horizontal="right" vertical="center"/>
      <protection locked="0"/>
    </xf>
    <xf numFmtId="164" fontId="27" fillId="0" borderId="65" xfId="1" applyNumberFormat="1" applyFont="1" applyFill="1" applyBorder="1" applyAlignment="1" applyProtection="1">
      <alignment vertical="top" wrapText="1"/>
      <protection locked="0"/>
    </xf>
    <xf numFmtId="164" fontId="12" fillId="3" borderId="51" xfId="1" applyNumberFormat="1" applyFont="1" applyFill="1" applyBorder="1" applyProtection="1">
      <protection locked="0"/>
    </xf>
    <xf numFmtId="164" fontId="12" fillId="3" borderId="61" xfId="1" applyNumberFormat="1" applyFont="1" applyFill="1" applyBorder="1" applyProtection="1">
      <protection locked="0"/>
    </xf>
    <xf numFmtId="164" fontId="12" fillId="3" borderId="69" xfId="1" applyNumberFormat="1" applyFont="1" applyFill="1" applyBorder="1" applyProtection="1">
      <protection locked="0"/>
    </xf>
    <xf numFmtId="0" fontId="28" fillId="0" borderId="4" xfId="0" applyFont="1" applyBorder="1" applyAlignment="1" applyProtection="1">
      <alignment horizontal="left" vertical="top" wrapText="1"/>
      <protection locked="0"/>
    </xf>
    <xf numFmtId="0" fontId="10" fillId="0" borderId="4" xfId="0" applyFont="1" applyBorder="1" applyAlignment="1" applyProtection="1">
      <alignment horizontal="left" vertical="top"/>
      <protection locked="0"/>
    </xf>
    <xf numFmtId="0" fontId="10" fillId="0" borderId="2" xfId="0" quotePrefix="1" applyFont="1" applyFill="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9" fillId="0" borderId="94" xfId="0" quotePrefix="1" applyFont="1" applyFill="1" applyBorder="1" applyAlignment="1" applyProtection="1">
      <alignment horizontal="left" vertical="top" wrapText="1"/>
      <protection locked="0"/>
    </xf>
    <xf numFmtId="0" fontId="9" fillId="0" borderId="4" xfId="0" quotePrefix="1" applyFont="1" applyFill="1" applyBorder="1" applyAlignment="1" applyProtection="1">
      <alignment horizontal="left" vertical="top" wrapText="1"/>
      <protection locked="0"/>
    </xf>
    <xf numFmtId="0" fontId="0" fillId="0" borderId="0" xfId="0" applyAlignment="1">
      <alignment horizontal="left" vertical="top" wrapText="1"/>
    </xf>
    <xf numFmtId="0" fontId="12" fillId="0" borderId="94" xfId="0" quotePrefix="1" applyFont="1" applyFill="1" applyBorder="1" applyAlignment="1" applyProtection="1">
      <alignment horizontal="left" vertical="top" wrapText="1"/>
      <protection locked="0"/>
    </xf>
    <xf numFmtId="0" fontId="12" fillId="0" borderId="4" xfId="0" quotePrefix="1" applyFont="1" applyFill="1" applyBorder="1" applyAlignment="1" applyProtection="1">
      <alignment horizontal="left" vertical="top" wrapText="1"/>
      <protection locked="0"/>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39" xfId="0" applyFont="1" applyFill="1" applyBorder="1" applyAlignment="1">
      <alignment horizontal="left" vertical="top" wrapText="1"/>
    </xf>
    <xf numFmtId="0" fontId="9" fillId="0" borderId="1" xfId="0" applyFont="1" applyFill="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cellStyles>
  <dxfs count="62">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Produzione" displayName="Produzione" ref="B27:B34" totalsRowShown="0" headerRowDxfId="47" dataDxfId="45" headerRowBorderDxfId="46" tableBorderDxfId="44" totalsRowBorderDxfId="43">
  <autoFilter ref="B27:B34"/>
  <tableColumns count="1">
    <tableColumn id="1" name="Produzione" dataDxfId="42"/>
  </tableColumns>
  <tableStyleInfo name="TableStyleMedium2" showFirstColumn="0" showLastColumn="0" showRowStripes="1" showColumnStripes="0"/>
</table>
</file>

<file path=xl/tables/table2.xml><?xml version="1.0" encoding="utf-8"?>
<table xmlns="http://schemas.openxmlformats.org/spreadsheetml/2006/main" id="2" name="Trasformazione" displayName="Trasformazione" ref="C27:C35" totalsRowShown="0" headerRowDxfId="41" dataDxfId="39" headerRowBorderDxfId="40" tableBorderDxfId="38" totalsRowBorderDxfId="37">
  <autoFilter ref="C27:C35"/>
  <tableColumns count="1">
    <tableColumn id="1" name="Trasformazione" dataDxfId="36"/>
  </tableColumns>
  <tableStyleInfo name="TableStyleMedium2" showFirstColumn="0" showLastColumn="0" showRowStripes="1" showColumnStripes="0"/>
</table>
</file>

<file path=xl/tables/table3.xml><?xml version="1.0" encoding="utf-8"?>
<table xmlns="http://schemas.openxmlformats.org/spreadsheetml/2006/main" id="3" name="Commercializzazione" displayName="Commercializzazione" ref="D27:D34" totalsRowShown="0" headerRowDxfId="35" dataDxfId="33" headerRowBorderDxfId="34" tableBorderDxfId="32" totalsRowBorderDxfId="31">
  <autoFilter ref="D27:D34"/>
  <tableColumns count="1">
    <tableColumn id="1" name="Commercializzazione" dataDxfId="30"/>
  </tableColumns>
  <tableStyleInfo name="TableStyleMedium2" showFirstColumn="0" showLastColumn="0" showRowStripes="1" showColumnStripes="0"/>
</table>
</file>

<file path=xl/tables/table4.xml><?xml version="1.0" encoding="utf-8"?>
<table xmlns="http://schemas.openxmlformats.org/spreadsheetml/2006/main" id="4" name="Ampliamento_e_ulteriore_sviluppo_ramo_aziendale_nell’azienda_agricola" displayName="Ampliamento_e_ulteriore_sviluppo_ramo_aziendale_nell’azienda_agricola" ref="E27:E34" totalsRowShown="0" headerRowDxfId="29" dataDxfId="27" headerRowBorderDxfId="28" tableBorderDxfId="26" totalsRowBorderDxfId="25">
  <autoFilter ref="E27:E34"/>
  <tableColumns count="1">
    <tableColumn id="1" name="Ampliamento_e_ulteriore_sviluppo_ramo_aziendale_nell’azienda_agricola" dataDxfId="24"/>
  </tableColumns>
  <tableStyleInfo name="TableStyleMedium2" showFirstColumn="0" showLastColumn="0" showRowStripes="1" showColumnStripes="0"/>
</table>
</file>

<file path=xl/tables/table5.xml><?xml version="1.0" encoding="utf-8"?>
<table xmlns="http://schemas.openxmlformats.org/spreadsheetml/2006/main" id="5" name="Altro" displayName="Altro" ref="F27:F34" totalsRowShown="0" headerRowDxfId="23" dataDxfId="21" headerRowBorderDxfId="22" tableBorderDxfId="20" totalsRowBorderDxfId="19">
  <autoFilter ref="F27:F34"/>
  <tableColumns count="1">
    <tableColumn id="1" name="Altro" dataDxfId="18"/>
  </tableColumns>
  <tableStyleInfo name="TableStyleMedium2" showFirstColumn="0" showLastColumn="0" showRowStripes="1" showColumnStripes="0"/>
</table>
</file>

<file path=xl/tables/table6.xml><?xml version="1.0" encoding="utf-8"?>
<table xmlns="http://schemas.openxmlformats.org/spreadsheetml/2006/main" id="6" name="selezionare" displayName="selezionare" ref="G27:G34" totalsRowShown="0" headerRowDxfId="17" dataDxfId="16">
  <autoFilter ref="G27:G34"/>
  <tableColumns count="1">
    <tableColumn id="1" name="selezionare" dataDxfId="15"/>
  </tableColumns>
  <tableStyleInfo name="TableStyleMedium2" showFirstColumn="0" showLastColumn="0" showRowStripes="1" showColumnStripes="0"/>
</table>
</file>

<file path=xl/tables/table7.xml><?xml version="1.0" encoding="utf-8"?>
<table xmlns="http://schemas.openxmlformats.org/spreadsheetml/2006/main" id="10" name="Misura" displayName="Misura" ref="B6:B18" totalsRowShown="0" headerRowDxfId="14" dataDxfId="12" headerRowBorderDxfId="13" tableBorderDxfId="11">
  <autoFilter ref="B6:B18"/>
  <tableColumns count="1">
    <tableColumn id="1" name="Misura" dataDxfId="10"/>
  </tableColumns>
  <tableStyleInfo name="TableStyleMedium2" showFirstColumn="0" showLastColumn="0" showRowStripes="1" showColumnStripes="0"/>
</table>
</file>

<file path=xl/tables/table8.xml><?xml version="1.0" encoding="utf-8"?>
<table xmlns="http://schemas.openxmlformats.org/spreadsheetml/2006/main" id="7" name="Fonti_finanziarie" displayName="Fonti_finanziarie" ref="B46:B53" totalsRowShown="0" headerRowDxfId="9" dataDxfId="8" tableBorderDxfId="7">
  <autoFilter ref="B46:B53"/>
  <tableColumns count="1">
    <tableColumn id="1" name="Fonti_di finanziamento"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5:B59" totalsRowShown="0" headerRowDxfId="5" dataDxfId="3" headerRowBorderDxfId="4" tableBorderDxfId="2" totalsRowBorderDxfId="1">
  <autoFilter ref="B55:B59"/>
  <tableColumns count="1">
    <tableColumn id="1" name="Garantito?"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I48"/>
  <sheetViews>
    <sheetView showGridLines="0" tabSelected="1" topLeftCell="A31" zoomScale="85" zoomScaleNormal="85" zoomScaleSheetLayoutView="90" workbookViewId="0">
      <selection activeCell="C40" sqref="C40"/>
    </sheetView>
  </sheetViews>
  <sheetFormatPr baseColWidth="10" defaultColWidth="11" defaultRowHeight="15.75" outlineLevelRow="2" x14ac:dyDescent="0.2"/>
  <cols>
    <col min="1" max="1" width="38.875" style="7" customWidth="1"/>
    <col min="2" max="2" width="17.25" style="7" customWidth="1"/>
    <col min="3" max="3" width="19.25" style="7" customWidth="1"/>
    <col min="4" max="4" width="18.625" style="7" customWidth="1"/>
    <col min="5" max="5" width="8.5" style="7" bestFit="1" customWidth="1"/>
    <col min="6" max="7" width="12.625" style="7" customWidth="1"/>
    <col min="8" max="8" width="9.625" style="7" customWidth="1"/>
    <col min="9" max="9" width="11.875" style="7" customWidth="1"/>
    <col min="10" max="10" width="12.5" style="7" customWidth="1"/>
    <col min="11" max="11" width="11.875" style="7" customWidth="1"/>
    <col min="12" max="12" width="12" style="7" customWidth="1"/>
    <col min="13" max="13" width="13.625" style="7" customWidth="1"/>
    <col min="14" max="14" width="11.625" style="7" customWidth="1"/>
    <col min="15" max="15" width="10.375" style="7" customWidth="1"/>
    <col min="16" max="16" width="14.125" style="7" customWidth="1"/>
    <col min="17" max="17" width="13.375" style="7" customWidth="1"/>
    <col min="18" max="18" width="11.5" style="7" customWidth="1"/>
    <col min="19" max="19" width="10.75" style="7" customWidth="1"/>
    <col min="20" max="20" width="10.625" style="7" customWidth="1"/>
    <col min="21" max="21" width="12.875" style="7" customWidth="1"/>
    <col min="22" max="22" width="10.5" style="7" customWidth="1"/>
    <col min="23" max="24" width="10.75" style="7" customWidth="1"/>
    <col min="25" max="25" width="11.125" style="103" customWidth="1"/>
    <col min="26" max="26" width="13.375" style="7" customWidth="1"/>
    <col min="27" max="27" width="14.875" style="7" customWidth="1"/>
    <col min="28" max="28" width="17.5" style="7" customWidth="1"/>
    <col min="29" max="29" width="14.875" style="7" hidden="1" customWidth="1"/>
    <col min="30" max="30" width="15.375" style="7" hidden="1" customWidth="1"/>
    <col min="31" max="31" width="14.875" style="7" hidden="1" customWidth="1"/>
    <col min="32" max="32" width="0" style="7" hidden="1" customWidth="1"/>
    <col min="33" max="33" width="11" style="7"/>
    <col min="34" max="34" width="13.75" style="7" customWidth="1"/>
    <col min="35" max="16384" width="11" style="7"/>
  </cols>
  <sheetData>
    <row r="1" spans="1:35" s="90" customFormat="1" ht="20.25" x14ac:dyDescent="0.2">
      <c r="A1" s="220" t="s">
        <v>44</v>
      </c>
      <c r="B1" s="88"/>
      <c r="C1" s="88"/>
      <c r="D1" s="88"/>
      <c r="E1" s="88"/>
      <c r="F1" s="88"/>
      <c r="G1" s="88"/>
      <c r="H1" s="88"/>
      <c r="I1" s="88"/>
      <c r="J1" s="88"/>
      <c r="K1" s="88"/>
      <c r="L1" s="88"/>
      <c r="M1" s="88"/>
      <c r="N1" s="88"/>
      <c r="O1" s="88"/>
      <c r="P1" s="88"/>
      <c r="Q1" s="88"/>
      <c r="R1" s="88"/>
      <c r="S1" s="88"/>
      <c r="T1" s="88"/>
      <c r="U1" s="88"/>
      <c r="V1" s="88"/>
      <c r="W1" s="88"/>
      <c r="X1" s="88"/>
      <c r="Y1" s="89"/>
      <c r="Z1" s="88"/>
      <c r="AA1" s="88"/>
      <c r="AB1" s="88"/>
      <c r="AC1" s="88"/>
      <c r="AD1" s="88"/>
      <c r="AE1" s="88"/>
    </row>
    <row r="2" spans="1:35" s="94" customFormat="1" x14ac:dyDescent="0.2">
      <c r="A2" s="91" t="s">
        <v>16</v>
      </c>
      <c r="B2" s="92"/>
      <c r="C2" s="91" t="s">
        <v>15</v>
      </c>
      <c r="D2" s="93"/>
      <c r="I2" s="95"/>
      <c r="J2" s="95"/>
      <c r="K2" s="95"/>
      <c r="L2" s="95"/>
      <c r="M2" s="95"/>
      <c r="N2" s="95"/>
      <c r="O2" s="95"/>
      <c r="P2" s="95"/>
      <c r="Q2" s="95"/>
      <c r="R2" s="95"/>
      <c r="Y2" s="96"/>
      <c r="AE2" s="7"/>
      <c r="AF2" s="7"/>
      <c r="AG2" s="7"/>
      <c r="AH2" s="7"/>
      <c r="AI2" s="7"/>
    </row>
    <row r="3" spans="1:35" s="94" customFormat="1" x14ac:dyDescent="0.2">
      <c r="A3" s="97" t="s">
        <v>17</v>
      </c>
      <c r="B3" s="98" t="s">
        <v>209</v>
      </c>
      <c r="C3" s="97" t="str">
        <f>IF(B3="selezionare","Selezione obbligatoria per i calcoli successivi","")</f>
        <v>Selezione obbligatoria per i calcoli successivi</v>
      </c>
      <c r="I3" s="95"/>
      <c r="J3" s="95"/>
      <c r="K3" s="95"/>
      <c r="L3" s="95"/>
      <c r="M3" s="95"/>
      <c r="N3" s="95"/>
      <c r="O3" s="95"/>
      <c r="P3" s="95"/>
      <c r="Q3" s="95"/>
      <c r="R3" s="95"/>
      <c r="Y3" s="96"/>
      <c r="AE3" s="7"/>
      <c r="AF3" s="7"/>
      <c r="AG3" s="7"/>
      <c r="AH3" s="7"/>
      <c r="AI3" s="7"/>
    </row>
    <row r="4" spans="1:35" s="94" customFormat="1" x14ac:dyDescent="0.2">
      <c r="A4" s="97" t="s">
        <v>18</v>
      </c>
      <c r="B4" s="624" t="s">
        <v>209</v>
      </c>
      <c r="C4" s="97" t="str">
        <f>IF(B4="selezionare","Selezione obbligatoria per i calcoli successivi","")</f>
        <v>Selezione obbligatoria per i calcoli successivi</v>
      </c>
      <c r="J4" s="95"/>
      <c r="K4" s="95"/>
      <c r="L4" s="95"/>
      <c r="M4" s="95"/>
      <c r="N4" s="95"/>
      <c r="O4" s="95"/>
      <c r="P4" s="95"/>
      <c r="Q4" s="95"/>
      <c r="R4" s="95"/>
      <c r="Y4" s="96"/>
      <c r="AE4" s="7"/>
      <c r="AF4" s="7"/>
      <c r="AG4" s="7"/>
      <c r="AH4" s="7"/>
      <c r="AI4" s="7"/>
    </row>
    <row r="5" spans="1:35" s="94" customFormat="1" x14ac:dyDescent="0.2">
      <c r="A5" s="97" t="s">
        <v>19</v>
      </c>
      <c r="B5" s="624" t="s">
        <v>215</v>
      </c>
      <c r="C5" s="97" t="str">
        <f>IF(B5="","Selezione obbligatoria per i calcoli successivi","")</f>
        <v/>
      </c>
      <c r="I5" s="95"/>
      <c r="J5" s="95"/>
      <c r="K5" s="95"/>
      <c r="L5" s="95"/>
      <c r="M5" s="95"/>
      <c r="N5" s="95"/>
      <c r="O5" s="95"/>
      <c r="P5" s="95"/>
      <c r="Q5" s="95"/>
      <c r="R5" s="95"/>
      <c r="Y5" s="96"/>
      <c r="AE5" s="7"/>
      <c r="AF5" s="7"/>
      <c r="AG5" s="7"/>
      <c r="AH5" s="7"/>
      <c r="AI5" s="7"/>
    </row>
    <row r="6" spans="1:35" s="94" customFormat="1" x14ac:dyDescent="0.2">
      <c r="A6" s="97" t="s">
        <v>272</v>
      </c>
      <c r="B6" s="98" t="s">
        <v>209</v>
      </c>
      <c r="C6" s="97" t="str">
        <f>IF(B6="selezionare","Selezione obbligatoria per i calcoli successivi","")</f>
        <v>Selezione obbligatoria per i calcoli successivi</v>
      </c>
      <c r="I6" s="95"/>
      <c r="J6" s="95"/>
      <c r="K6" s="95"/>
      <c r="L6" s="95"/>
      <c r="M6" s="95"/>
      <c r="N6" s="95"/>
      <c r="O6" s="95"/>
      <c r="P6" s="95"/>
      <c r="Q6" s="95"/>
      <c r="R6" s="95"/>
      <c r="Y6" s="96"/>
      <c r="AE6" s="7"/>
      <c r="AF6" s="7"/>
      <c r="AG6" s="7"/>
      <c r="AH6" s="7"/>
      <c r="AI6" s="7"/>
    </row>
    <row r="7" spans="1:35" s="94" customFormat="1" x14ac:dyDescent="0.25">
      <c r="A7" s="697" t="s">
        <v>33</v>
      </c>
      <c r="B7" s="698" t="s">
        <v>209</v>
      </c>
      <c r="C7" s="97" t="str">
        <f>IF(B7="selezionare","Selezione obbligatoria per i calcoli successivi","")</f>
        <v>Selezione obbligatoria per i calcoli successivi</v>
      </c>
      <c r="I7" s="95"/>
      <c r="J7" s="95"/>
      <c r="K7" s="95"/>
      <c r="L7" s="95"/>
      <c r="M7" s="95"/>
      <c r="N7" s="95"/>
      <c r="O7" s="95"/>
      <c r="P7" s="95"/>
      <c r="Q7" s="95"/>
      <c r="R7" s="95"/>
      <c r="Y7" s="96"/>
      <c r="AE7" s="7"/>
      <c r="AF7" s="7"/>
      <c r="AG7" s="7"/>
      <c r="AH7" s="7"/>
      <c r="AI7" s="7"/>
    </row>
    <row r="8" spans="1:35" s="94" customFormat="1" ht="31.5" x14ac:dyDescent="0.2">
      <c r="A8" s="99" t="s">
        <v>273</v>
      </c>
      <c r="B8" s="100" t="s">
        <v>209</v>
      </c>
      <c r="C8" s="699" t="str">
        <f>IF(B8="selezionare","Selezione obbligatoria per i calcoli successivi","")</f>
        <v>Selezione obbligatoria per i calcoli successivi</v>
      </c>
      <c r="D8" s="101" t="s">
        <v>370</v>
      </c>
      <c r="E8" s="101"/>
      <c r="F8" s="101"/>
      <c r="G8" s="101"/>
      <c r="H8" s="101"/>
      <c r="I8" s="101"/>
      <c r="J8" s="101"/>
      <c r="K8" s="101"/>
      <c r="L8" s="101"/>
      <c r="M8" s="101"/>
      <c r="N8" s="101"/>
      <c r="O8" s="101"/>
      <c r="P8" s="101"/>
      <c r="Q8" s="101"/>
      <c r="R8" s="101"/>
      <c r="S8" s="101"/>
      <c r="T8" s="101"/>
      <c r="U8" s="101"/>
      <c r="V8" s="101"/>
      <c r="W8" s="101"/>
      <c r="X8" s="101"/>
      <c r="Y8" s="102"/>
      <c r="Z8" s="101"/>
      <c r="AA8" s="101"/>
      <c r="AB8" s="101"/>
      <c r="AC8" s="101"/>
      <c r="AD8" s="101"/>
      <c r="AE8" s="7"/>
      <c r="AF8" s="7"/>
      <c r="AG8" s="7"/>
      <c r="AH8" s="7"/>
      <c r="AI8" s="7"/>
    </row>
    <row r="9" spans="1:35" x14ac:dyDescent="0.2">
      <c r="AE9" s="104"/>
    </row>
    <row r="10" spans="1:35" s="570" customFormat="1" ht="18" x14ac:dyDescent="0.2">
      <c r="A10" s="567" t="s">
        <v>20</v>
      </c>
      <c r="B10" s="568"/>
      <c r="C10" s="568"/>
      <c r="D10" s="568"/>
      <c r="E10" s="568"/>
      <c r="F10" s="568"/>
      <c r="G10" s="568"/>
      <c r="H10" s="568"/>
      <c r="I10" s="568"/>
      <c r="J10" s="567"/>
      <c r="K10" s="568"/>
      <c r="L10" s="568"/>
      <c r="M10" s="568"/>
      <c r="N10" s="568"/>
      <c r="O10" s="568"/>
      <c r="P10" s="568"/>
      <c r="Q10" s="568"/>
      <c r="R10" s="568"/>
      <c r="S10" s="568"/>
      <c r="T10" s="568"/>
      <c r="U10" s="568"/>
      <c r="V10" s="568"/>
      <c r="W10" s="568"/>
      <c r="X10" s="568"/>
      <c r="Y10" s="568"/>
      <c r="Z10" s="568"/>
      <c r="AA10" s="568"/>
      <c r="AB10" s="568"/>
      <c r="AC10" s="568"/>
      <c r="AD10" s="568"/>
      <c r="AE10" s="568"/>
      <c r="AF10" s="569"/>
      <c r="AG10" s="569"/>
      <c r="AH10" s="569"/>
    </row>
    <row r="11" spans="1:35" ht="87.6" customHeight="1" outlineLevel="1" x14ac:dyDescent="0.2">
      <c r="A11" s="799" t="s">
        <v>382</v>
      </c>
      <c r="B11" s="799"/>
      <c r="C11" s="799"/>
      <c r="D11" s="799"/>
      <c r="E11" s="799"/>
      <c r="F11" s="799"/>
      <c r="G11" s="799"/>
      <c r="H11" s="799"/>
      <c r="I11" s="799"/>
      <c r="J11" s="799"/>
      <c r="K11" s="799"/>
      <c r="L11" s="799"/>
      <c r="M11" s="799"/>
      <c r="N11" s="799"/>
      <c r="O11" s="107"/>
      <c r="P11" s="107"/>
      <c r="Q11" s="107"/>
      <c r="R11" s="107"/>
      <c r="S11" s="107"/>
      <c r="T11" s="107"/>
      <c r="U11" s="107"/>
      <c r="V11" s="107"/>
      <c r="W11" s="107"/>
      <c r="X11" s="107"/>
      <c r="Y11" s="107"/>
      <c r="Z11" s="107"/>
      <c r="AA11" s="107"/>
      <c r="AB11" s="107"/>
      <c r="AC11" s="107"/>
      <c r="AD11" s="107"/>
      <c r="AE11" s="107"/>
    </row>
    <row r="12" spans="1:35" ht="170.1" customHeight="1" outlineLevel="1" x14ac:dyDescent="0.2">
      <c r="A12" s="800" t="s">
        <v>353</v>
      </c>
      <c r="B12" s="800"/>
      <c r="C12" s="800"/>
      <c r="D12" s="800"/>
      <c r="E12" s="800"/>
      <c r="F12" s="800"/>
      <c r="G12" s="800"/>
      <c r="H12" s="800"/>
      <c r="I12" s="800"/>
      <c r="J12" s="800"/>
      <c r="K12" s="800"/>
      <c r="L12" s="800"/>
      <c r="M12" s="800"/>
      <c r="N12" s="800"/>
      <c r="O12" s="105"/>
      <c r="P12" s="105"/>
      <c r="Q12" s="105"/>
      <c r="R12" s="105"/>
      <c r="S12" s="105"/>
      <c r="T12" s="105"/>
      <c r="U12" s="105"/>
      <c r="V12" s="105"/>
      <c r="W12" s="105"/>
      <c r="X12" s="105"/>
      <c r="Y12" s="105"/>
      <c r="Z12" s="105"/>
      <c r="AA12" s="105"/>
      <c r="AB12" s="105"/>
      <c r="AC12" s="105"/>
      <c r="AD12" s="105"/>
      <c r="AE12" s="611"/>
      <c r="AF12" s="612"/>
    </row>
    <row r="13" spans="1:35" outlineLevel="1" x14ac:dyDescent="0.2">
      <c r="A13" s="796" t="s">
        <v>274</v>
      </c>
      <c r="B13" s="797"/>
      <c r="C13" s="797"/>
      <c r="D13" s="797"/>
      <c r="E13" s="797"/>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row>
    <row r="14" spans="1:35" outlineLevel="2" x14ac:dyDescent="0.2">
      <c r="A14" s="762" t="s">
        <v>316</v>
      </c>
      <c r="B14" s="763" t="s">
        <v>367</v>
      </c>
      <c r="C14" s="762"/>
      <c r="D14" s="762"/>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row>
    <row r="15" spans="1:35" outlineLevel="2" x14ac:dyDescent="0.2">
      <c r="A15" s="762" t="s">
        <v>36</v>
      </c>
      <c r="B15" s="763" t="s">
        <v>42</v>
      </c>
      <c r="C15" s="762"/>
      <c r="D15" s="762"/>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row>
    <row r="16" spans="1:35" outlineLevel="2" x14ac:dyDescent="0.2">
      <c r="A16" s="762" t="s">
        <v>37</v>
      </c>
      <c r="B16" s="763" t="s">
        <v>43</v>
      </c>
      <c r="C16" s="762"/>
      <c r="D16" s="762"/>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row>
    <row r="17" spans="1:35" outlineLevel="2" x14ac:dyDescent="0.2">
      <c r="A17" s="762" t="s">
        <v>383</v>
      </c>
      <c r="B17" s="763" t="s">
        <v>368</v>
      </c>
      <c r="C17" s="762"/>
      <c r="D17" s="762"/>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row>
    <row r="18" spans="1:35" outlineLevel="2" x14ac:dyDescent="0.2">
      <c r="A18" s="762" t="s">
        <v>366</v>
      </c>
      <c r="B18" s="763" t="s">
        <v>369</v>
      </c>
      <c r="C18" s="762"/>
      <c r="D18" s="762"/>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row>
    <row r="20" spans="1:35" ht="31.5" x14ac:dyDescent="0.2">
      <c r="A20" s="566" t="s">
        <v>32</v>
      </c>
      <c r="B20" s="571" t="s">
        <v>35</v>
      </c>
      <c r="C20" s="7" t="s">
        <v>34</v>
      </c>
      <c r="H20" s="10"/>
      <c r="L20" s="109"/>
    </row>
    <row r="21" spans="1:35" x14ac:dyDescent="0.2">
      <c r="A21" s="110"/>
      <c r="H21" s="10"/>
      <c r="L21" s="111"/>
    </row>
    <row r="22" spans="1:35" s="570" customFormat="1" ht="18" x14ac:dyDescent="0.2">
      <c r="A22" s="567" t="s">
        <v>362</v>
      </c>
      <c r="B22" s="568"/>
      <c r="C22" s="568"/>
      <c r="D22" s="568"/>
      <c r="E22" s="568"/>
      <c r="F22" s="568"/>
      <c r="G22" s="568"/>
      <c r="H22" s="568"/>
      <c r="I22" s="568"/>
      <c r="J22" s="567"/>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9"/>
      <c r="AH22" s="569"/>
    </row>
    <row r="23" spans="1:35" s="95" customFormat="1" ht="54.95" customHeight="1" x14ac:dyDescent="0.2">
      <c r="A23" s="798" t="s">
        <v>374</v>
      </c>
      <c r="B23" s="798"/>
      <c r="C23" s="798"/>
      <c r="D23" s="798"/>
      <c r="E23" s="798"/>
      <c r="F23" s="798"/>
      <c r="G23" s="798"/>
      <c r="H23" s="798"/>
      <c r="I23" s="798"/>
      <c r="J23" s="759"/>
      <c r="K23" s="759"/>
      <c r="L23" s="759"/>
      <c r="M23" s="759"/>
      <c r="N23" s="759"/>
      <c r="O23" s="759"/>
      <c r="P23" s="759"/>
      <c r="Q23" s="112"/>
      <c r="R23" s="113"/>
      <c r="S23" s="114"/>
      <c r="T23" s="114"/>
      <c r="U23" s="114"/>
      <c r="V23" s="114"/>
      <c r="W23" s="114"/>
      <c r="X23" s="114"/>
      <c r="Y23" s="114"/>
      <c r="Z23" s="112"/>
      <c r="AA23" s="112"/>
      <c r="AB23" s="112"/>
      <c r="AC23" s="112"/>
      <c r="AD23" s="112"/>
      <c r="AE23" s="112"/>
      <c r="AF23" s="112"/>
      <c r="AG23" s="115"/>
      <c r="AH23" s="115"/>
      <c r="AI23" s="115"/>
    </row>
    <row r="24" spans="1:35" s="5" customFormat="1" outlineLevel="1" x14ac:dyDescent="0.25">
      <c r="A24" s="116"/>
      <c r="B24" s="116"/>
      <c r="C24" s="116"/>
      <c r="D24" s="116"/>
      <c r="E24" s="116"/>
      <c r="F24" s="116"/>
      <c r="G24" s="116"/>
      <c r="H24" s="116"/>
      <c r="I24" s="116"/>
      <c r="J24" s="116"/>
      <c r="M24" s="116"/>
      <c r="N24" s="116"/>
      <c r="O24" s="116"/>
      <c r="P24" s="116"/>
      <c r="Q24" s="116"/>
      <c r="R24" s="116"/>
      <c r="S24" s="116"/>
      <c r="T24" s="116"/>
      <c r="U24" s="117"/>
      <c r="V24" s="118"/>
      <c r="W24" s="119" t="s">
        <v>14</v>
      </c>
      <c r="X24" s="116"/>
      <c r="Y24" s="116"/>
      <c r="Z24" s="116"/>
      <c r="AA24" s="116"/>
      <c r="AB24" s="116"/>
      <c r="AC24" s="116"/>
      <c r="AD24" s="116"/>
      <c r="AE24" s="116"/>
      <c r="AF24" s="116"/>
      <c r="AG24" s="116"/>
      <c r="AI24" s="7"/>
    </row>
    <row r="25" spans="1:35" s="103" customFormat="1" ht="104.45" customHeight="1" outlineLevel="1" x14ac:dyDescent="0.2">
      <c r="A25" s="120" t="s">
        <v>22</v>
      </c>
      <c r="B25" s="121" t="s">
        <v>40</v>
      </c>
      <c r="C25" s="121" t="s">
        <v>275</v>
      </c>
      <c r="D25" s="121" t="s">
        <v>38</v>
      </c>
      <c r="E25" s="219" t="s">
        <v>39</v>
      </c>
      <c r="F25" s="122" t="s">
        <v>45</v>
      </c>
      <c r="G25" s="123" t="s">
        <v>46</v>
      </c>
      <c r="H25" s="124" t="s">
        <v>47</v>
      </c>
      <c r="I25" s="123" t="s">
        <v>48</v>
      </c>
      <c r="J25" s="610" t="s">
        <v>301</v>
      </c>
      <c r="K25" s="132" t="s">
        <v>245</v>
      </c>
      <c r="L25" s="625" t="s">
        <v>326</v>
      </c>
      <c r="M25" s="126" t="s">
        <v>276</v>
      </c>
      <c r="N25" s="125" t="s">
        <v>308</v>
      </c>
      <c r="O25" s="129" t="s">
        <v>52</v>
      </c>
      <c r="P25" s="123" t="s">
        <v>315</v>
      </c>
      <c r="Q25" s="617" t="s">
        <v>49</v>
      </c>
      <c r="R25" s="127" t="s">
        <v>50</v>
      </c>
      <c r="S25" s="128" t="s">
        <v>51</v>
      </c>
      <c r="T25" s="128" t="s">
        <v>53</v>
      </c>
      <c r="U25" s="130" t="s">
        <v>277</v>
      </c>
      <c r="V25" s="133" t="s">
        <v>54</v>
      </c>
      <c r="W25" s="134" t="s">
        <v>302</v>
      </c>
      <c r="X25" s="135" t="s">
        <v>303</v>
      </c>
      <c r="Y25" s="134" t="s">
        <v>304</v>
      </c>
      <c r="Z25" s="135" t="s">
        <v>305</v>
      </c>
      <c r="AA25" s="134" t="s">
        <v>306</v>
      </c>
      <c r="AB25" s="136" t="s">
        <v>307</v>
      </c>
      <c r="AD25" s="7"/>
    </row>
    <row r="26" spans="1:35" outlineLevel="1" x14ac:dyDescent="0.2">
      <c r="A26" s="137" t="s">
        <v>278</v>
      </c>
      <c r="B26" s="138"/>
      <c r="C26" s="139" t="s">
        <v>201</v>
      </c>
      <c r="D26" s="140" t="s">
        <v>201</v>
      </c>
      <c r="E26" s="700" t="str">
        <f>IF(D26="Investimenti collettivi nell'interesse del progetto globale",1,IF(D26="Sviluppo di un ramo aziendale nell'azienda agricola",2,IF(D26="ZM: trasformazione, stoccaggio e commercializzazione in comune di prodotti agricoli regionali",3,IF(D26="ZC: trasformazione, stoccaggio e commercializzazione in comune di prodotti agricoli regionali",4,IF(D26="Regione di pianura: trasformazione, stoccaggio e commercializzazione  in comune di prodotti agricoli regionali",5,IF(D26="Altre misure nell'interesse del progetto globale (riduzione min. 50%)",6,IF(D26="Edifici alpestre",7,IF(D26="Stalle individuali per animali che consumano foraggio grezzo",8,IF(D26="Provvedimenti di migliorie fondiarie",9,IF(D26="Provvedimenti individuali obiettivi ecologici",10,IF(D26="Provvedimenti individuali trasformazione piccole aziende artigianali",11,IF(D26="…selezionare misura",""))))))))))))</f>
        <v/>
      </c>
      <c r="F26" s="141"/>
      <c r="G26" s="142">
        <f t="shared" ref="G26:G34" si="0">B26-F26</f>
        <v>0</v>
      </c>
      <c r="H26" s="702" t="str">
        <f>IF(E26=1,IF($B$3="orientato alla catena di valore aggiunto",'Dropdown input'!$C$8,IF('Panoramica SP'!$B$3="intersettoriale",'Dropdown input'!$D$8,IF($B$3="selezionare",""))),IF(E26=2,IF($B$3="orientato alla catena di valore aggiunto",'Dropdown input'!$C$9,IF('Panoramica SP'!$B$3="intersettoriale",'Dropdown input'!$D$9,IF($B$3="selezionare",""))),IF(E26=3,IF($B$3="orientato alla catena di valore aggiunto",'Dropdown input'!$C$10,IF('Panoramica SP'!$B$3="intersettoriale",'Dropdown input'!$D$10,IF($B$3="selezionare",""))),IF(E26=4,IF($B$3="orientato alla catena di valore aggiunto",'Dropdown input'!$C$11,IF('Panoramica SP'!$B$3="intersettoriale",'Dropdown input'!$D$11,IF($B$3="selezionare",""))),IF(E26=5,IF($B$3="orientato alla catena di valore aggiunto",'Dropdown input'!$C$12,IF('Panoramica SP'!$B$3="intersettoriale",'Dropdown input'!$C$12,IF($B$3="selezionare",""))),IF(E26=6,IF($B$3="orientato alla catena di valore aggiunto",'Dropdown input'!$C$13,IF('Panoramica SP'!$B$3="intersettoriale",'Dropdown input'!$D$13,IF($B$3="selezionare",""))),IF(E26=7,IF($B$3="orientato alla catena di valore aggiunto",'Dropdown input'!$C$14,IF('Panoramica SP'!$B$3="intersettoriale",'Dropdown input'!$D$14,IF($B$3="selezionare",""))),IF(E26=8,IF($B$3="orientato alla catena di valore aggiunto",'Dropdown input'!$C$15,IF('Panoramica SP'!$B$3="intersettoriale",'Dropdown input'!$D$15,IF($B$3="selezionare",""))),IF(E26=9,IF($B$3="orientato alla catena di valore aggiunto",'Dropdown input'!$C$16,IF('Panoramica SP'!$B$3="intersettoriale",'Dropdown input'!$D$16,IF($B$3="selezionare",""))),IF(E26=10,IF($B$3="orientato alla catena di valore aggiunto",'Dropdown input'!$C$17,IF('Panoramica SP'!$B$3="intersettoriale",'Dropdown input'!$D$17,IF($B$3="selezionare",""))),IF(E26=11,IF($B$3="orientato alla catena di valore aggiunto",'Dropdown input'!$C$18,IF('Panoramica SP'!$B$3="intersettoriale",'Dropdown input'!$D$18,IF($B$3="selezionare",""))),IF(E26="",""))))))))))))</f>
        <v/>
      </c>
      <c r="I26" s="142" t="str">
        <f t="shared" ref="I26:I34" si="1">IFERROR(G26-G26*H26,"")</f>
        <v/>
      </c>
      <c r="J26" s="702" t="str">
        <f>IF(E26=1,(IF(C26="Pianura",34%,IF(C26="ZC / ZM I",37%,IF(C26="ZM II - IV, regione d'estivazione",40%,)))),IF(E26=2,(IF(C26="Pianura",34%,IF(C26="ZC / ZM I",37%,IF(C26="ZM II - IV, regione d'estivazione",40%,)))),IF(E26=3,22%,IF(E26=4,37%,IF(E26=5,34%,IF(E26=6,(IF(C26="Pianura",34%,IF(C26="ZC / ZM I",37%,IF(C26="ZM II - IV, regione d'estivazione",40%,)))),IF(E26=7,"N/A",IF(E26=8,"N/A",IF(E26=9,"chiarire nello specifico con l'UFAG",IF(E26=10,"N/A",IF(E26=11,22%,IF(E26="",""))))))))))))</f>
        <v/>
      </c>
      <c r="K26" s="704" t="str">
        <f>IF(E26=1,'Dropdown input'!$I$8,IF(E26=2,'Dropdown input'!$I$9,IF(E26=3,'Dropdown input'!$I$10,IF(E26=4,'Dropdown input'!$I$11,IF(E26=5,'Dropdown input'!$I$12,IF(E26=6,'Dropdown input'!$I$13,IF(E26=7,'Dropdown input'!$I$14,IF(E26=8,'Dropdown input'!$I$15,IF(E26=9,"chiarire nello specifico con l'UFAG",IF(E26=10,'Dropdown input'!$I$17,IF(E26=11,'Dropdown input'!$I$18,"")))))))))))</f>
        <v/>
      </c>
      <c r="L26" s="616" t="str">
        <f t="shared" ref="L26:L34" si="2">IFERROR(IF(J26="N/A","riprendere dal modello edifici rurali",I26*(K26*J26)),"")</f>
        <v/>
      </c>
      <c r="M26" s="656" t="str">
        <f>IF(E26=1,IF($B$3="orientato alla catena di valore aggiunto",'Dropdown input'!$E$8,IF($B$3="intersettoriale",'Dropdown input'!$F$8,IF($B$3="selezionare",""))),IF(E26=2,IF($B$3="orientato alla catena di valore aggiunto",'Dropdown input'!$E$9,IF($B$3="intersettoriale",'Dropdown input'!$F$9,IF($B$3="selezionare",""))),IF(E26=3,IF($B$3="orientato alla catena di valore aggiunto",'Dropdown input'!$E$10,IF($B$3="intersettoriale",'Dropdown input'!$F$10,IF($B$3="selezionare",""))),IF(E26=4,IF($B$3="orientato alla catena di valore aggiunto",'Dropdown input'!$E$11,IF($B$3="intersettoriale",'Dropdown input'!$F$11,IF($B$3="selezionare",""))),IF(E26=5,IF($B$3="orientato alla catena di valore aggiunto",'Dropdown input'!$E$12,IF($B$3="intersettoriale",'Dropdown input'!$F$12,IF($B$3="selezionare",""))),IF(E26=6,IF($B$3="orientato alla catena di valore aggiunto",'Dropdown input'!$E$13,IF($B$3="intersettoriale",'Dropdown input'!$F$13,IF($B$3="selezionare",""))),IF(E26=7,IF($B$3="orientato alla catena di valore aggiunto",'Dropdown input'!$E$14,IF($B$3="intersettoriale",'Dropdown input'!$F$14,IF($B$3="selezionare",""))),IF(E26=8,IF($B$3="orientato alla catena di valore aggiunto",'Dropdown input'!$E$15,IF($B$3="intersettoriale",'Dropdown input'!$F$15,IF($B$3="selezionare",""))),IF(E26=9,IF($B$3="orientato alla catena di valore aggiunto",'Dropdown input'!$E$16,IF($B$3="intersettoriale",'Dropdown input'!$F$16,IF($B$3="selezionare",""))),IF(E26=10,IF($B$3="orientato alla catena di valore aggiunto",'Dropdown input'!$E$17,IF($B$3="intersettoriale",'Dropdown input'!$F$17,IF($B$3="selezionare",""))),IF(E26=11,IF($B$3="orientato alla catena di valore aggiunto",'Dropdown input'!$E$18,IF($B$3="intersettoriale",'Dropdown input'!$F$18,IF($B$3="selezionare",""))),IF(E26="",""))))))))))))</f>
        <v/>
      </c>
      <c r="N26" s="706" t="str">
        <f>IFERROR(IF(J26="N/A",(L26/(K26*I26))*M26+(L26/(K26*I26)),J26+J26*M26),"")</f>
        <v/>
      </c>
      <c r="O26" s="735" t="str">
        <f>IFERROR(I26*(K26*N26),"")</f>
        <v/>
      </c>
      <c r="P26" s="732"/>
      <c r="Q26" s="618" t="str">
        <f>IFERROR((O26+P26)/I26,"")</f>
        <v/>
      </c>
      <c r="R26" s="146" t="str">
        <f>IFERROR(IF(Q26&lt;K26*N26,Q26/K26,N26),"")</f>
        <v/>
      </c>
      <c r="S26" s="147" t="str">
        <f>IFERROR(R26*I26,"")</f>
        <v/>
      </c>
      <c r="T26" s="613">
        <f>IFERROR(O26+S26+P26,0)</f>
        <v>0</v>
      </c>
      <c r="U26" s="148" t="str">
        <f t="shared" ref="U26:U35" si="3">IFERROR(T26/B26,"")</f>
        <v/>
      </c>
      <c r="V26" s="613">
        <f t="shared" ref="V26:V34" si="4">B26-T26</f>
        <v>0</v>
      </c>
      <c r="W26" s="149"/>
      <c r="X26" s="141"/>
      <c r="Y26" s="149"/>
      <c r="Z26" s="141"/>
      <c r="AA26" s="149"/>
      <c r="AB26" s="149"/>
    </row>
    <row r="27" spans="1:35" outlineLevel="1" x14ac:dyDescent="0.2">
      <c r="A27" s="151" t="s">
        <v>23</v>
      </c>
      <c r="B27" s="152"/>
      <c r="C27" s="153" t="s">
        <v>201</v>
      </c>
      <c r="D27" s="154" t="s">
        <v>201</v>
      </c>
      <c r="E27" s="700" t="str">
        <f t="shared" ref="E27:E34" si="5">IF(D27="Investimenti collettivi nell'interesse del progetto globale",1,IF(D27="Sviluppo di un ramo aziendale nell'azienda agricola",2,IF(D27="ZM: trasformazione, stoccaggio e commercializzazione in comune di prodotti agricoli regionali",3,IF(D27="ZC: trasformazione, stoccaggio e commercializzazione in comune di prodotti agricoli regionali",4,IF(D27="Regione di pianura: trasformazione, stoccaggio e commercializzazione  in comune di prodotti agricoli regionali",5,IF(D27="Altre misure nell'interesse del progetto globale (riduzione min. 50%)",6,IF(D27="Edifici alpestre",7,IF(D27="Stalle individuali per animali che consumano foraggio grezzo",8,IF(D27="Provvedimenti di migliorie fondiarie",9,IF(D27="Provvedimenti individuali obiettivi ecologici",10,IF(D27="Provvedimenti individuali trasformazione piccole aziende artigianali",11,IF(D27="…selezionare misura",""))))))))))))</f>
        <v/>
      </c>
      <c r="F27" s="155"/>
      <c r="G27" s="156">
        <f t="shared" si="0"/>
        <v>0</v>
      </c>
      <c r="H27" s="143" t="str">
        <f>IF(E27=1,IF($B$3="orientato alla catena di valore aggiunto",'Dropdown input'!$C$8,IF('Panoramica SP'!$B$3="intersettoriale",'Dropdown input'!$D$8,IF($B$3="selezionare",""))),IF(E27=2,IF($B$3="orientato alla catena di valore aggiunto",'Dropdown input'!$C$9,IF('Panoramica SP'!$B$3="intersettoriale",'Dropdown input'!$D$9,IF($B$3="selezionare",""))),IF(E27=3,IF($B$3="orientato alla catena di valore aggiunto",'Dropdown input'!$C$10,IF('Panoramica SP'!$B$3="intersettoriale",'Dropdown input'!$D$10,IF($B$3="selezionare",""))),IF(E27=4,IF($B$3="orientato alla catena di valore aggiunto",'Dropdown input'!$C$11,IF('Panoramica SP'!$B$3="intersettoriale",'Dropdown input'!$D$11,IF($B$3="selezionare",""))),IF(E27=5,IF($B$3="orientato alla catena di valore aggiunto",'Dropdown input'!$C$12,IF('Panoramica SP'!$B$3="intersettoriale",'Dropdown input'!$C$12,IF($B$3="selezionare",""))),IF(E27=6,IF($B$3="orientato alla catena di valore aggiunto",'Dropdown input'!$C$13,IF('Panoramica SP'!$B$3="intersettoriale",'Dropdown input'!$D$13,IF($B$3="selezionare",""))),IF(E27=7,IF($B$3="orientato alla catena di valore aggiunto",'Dropdown input'!$C$14,IF('Panoramica SP'!$B$3="intersettoriale",'Dropdown input'!$D$14,IF($B$3="selezionare",""))),IF(E27=8,IF($B$3="orientato alla catena di valore aggiunto",'Dropdown input'!$C$15,IF('Panoramica SP'!$B$3="intersettoriale",'Dropdown input'!$D$15,IF($B$3="selezionare",""))),IF(E27=9,IF($B$3="orientato alla catena di valore aggiunto",'Dropdown input'!$C$16,IF('Panoramica SP'!$B$3="intersettoriale",'Dropdown input'!$D$16,IF($B$3="selezionare",""))),IF(E27=10,IF($B$3="orientato alla catena di valore aggiunto",'Dropdown input'!$C$17,IF('Panoramica SP'!$B$3="intersettoriale",'Dropdown input'!$D$17,IF($B$3="selezionare",""))),IF(E27=11,IF($B$3="orientato alla catena di valore aggiunto",'Dropdown input'!$C$18,IF('Panoramica SP'!$B$3="intersettoriale",'Dropdown input'!$D$18,IF($B$3="selezionare",""))),IF(E27="",""))))))))))))</f>
        <v/>
      </c>
      <c r="I27" s="156" t="str">
        <f t="shared" si="1"/>
        <v/>
      </c>
      <c r="J27" s="143" t="str">
        <f t="shared" ref="J27:J34" si="6">IF(E27=1,(IF(C27="Pianura",34%,IF(C27="ZC / ZM I",37%,IF(C27="ZM II - IV, regione d'estivazione",40%,)))),IF(E27=2,(IF(C27="Pianura",34%,IF(C27="ZC / ZM I",37%,IF(C27="ZM II - IV, regione d'estivazione",40%,)))),IF(E27=3,22%,IF(E27=4,37%,IF(E27=5,34%,IF(E27=6,(IF(C27="Pianura",34%,IF(C27="ZC / ZM I",37%,IF(C27="ZM II - IV, regione d'estivazione",40%,)))),IF(E27=7,"N/A",IF(E27=8,"N/A",IF(E27=9,"chiarire nello specifico con l'UFAG",IF(E27=10,"N/A",IF(E27=11,22%,IF(E27="",""))))))))))))</f>
        <v/>
      </c>
      <c r="K27" s="144" t="str">
        <f>IF(E27=1,'Dropdown input'!$I$8,IF(E27=2,'Dropdown input'!$I$9,IF(E27=3,'Dropdown input'!$I$10,IF(E27=4,'Dropdown input'!$I$11,IF(E27=5,'Dropdown input'!$I$12,IF(E27=6,'Dropdown input'!$I$13,IF(E27=7,'Dropdown input'!$I$14,IF(E27=8,'Dropdown input'!$I$15,IF(E27=9,"chiarire nello specifico con l'UFAG",IF(E27=10,'Dropdown input'!$I$17,IF(E27=11,'Dropdown input'!$I$18,"")))))))))))</f>
        <v/>
      </c>
      <c r="L27" s="616" t="str">
        <f t="shared" si="2"/>
        <v/>
      </c>
      <c r="M27" s="707" t="str">
        <f>IF(E27=1,IF($B$3="orientato alla catena di valore aggiunto",'Dropdown input'!$E$8,IF($B$3="intersettoriale",'Dropdown input'!$F$8,IF($B$3="selezionare",""))),IF(E27=2,IF($B$3="orientato alla catena di valore aggiunto",'Dropdown input'!$E$9,IF($B$3="intersettoriale",'Dropdown input'!$F$9,IF($B$3="selezionare",""))),IF(E27=3,IF($B$3="orientato alla catena di valore aggiunto",'Dropdown input'!$E$10,IF($B$3="intersettoriale",'Dropdown input'!$F$10,IF($B$3="selezionare",""))),IF(E27=4,IF($B$3="orientato alla catena di valore aggiunto",'Dropdown input'!$E$11,IF($B$3="intersettoriale",'Dropdown input'!$F$11,IF($B$3="selezionare",""))),IF(E27=5,IF($B$3="orientato alla catena di valore aggiunto",'Dropdown input'!$E$12,IF($B$3="intersettoriale",'Dropdown input'!$F$12,IF($B$3="selezionare",""))),IF(E27=6,IF($B$3="orientato alla catena di valore aggiunto",'Dropdown input'!$E$13,IF($B$3="intersettoriale",'Dropdown input'!$F$13,IF($B$3="selezionare",""))),IF(E27=7,IF($B$3="orientato alla catena di valore aggiunto",'Dropdown input'!$E$14,IF($B$3="intersettoriale",'Dropdown input'!$F$14,IF($B$3="selezionare",""))),IF(E27=8,IF($B$3="orientato alla catena di valore aggiunto",'Dropdown input'!$E$15,IF($B$3="intersettoriale",'Dropdown input'!$F$15,IF($B$3="selezionare",""))),IF(E27=9,IF($B$3="orientato alla catena di valore aggiunto",'Dropdown input'!$E$16,IF($B$3="intersettoriale",'Dropdown input'!$F$16,IF($B$3="selezionare",""))),IF(E27=10,IF($B$3="orientato alla catena di valore aggiunto",'Dropdown input'!$E$17,IF($B$3="intersettoriale",'Dropdown input'!$F$17,IF($B$3="selezionare",""))),IF(E27=11,IF($B$3="orientato alla catena di valore aggiunto",'Dropdown input'!$E$18,IF($B$3="intersettoriale",'Dropdown input'!$F$18,IF($B$3="selezionare",""))),IF(E27="",""))))))))))))</f>
        <v/>
      </c>
      <c r="N27" s="145" t="str">
        <f t="shared" ref="N27:N34" si="7">IFERROR(IF(J27="N/A",(L27/(K27*I27))*M27+(L27/(K27*I27)),J27+J27*M27),"")</f>
        <v/>
      </c>
      <c r="O27" s="736" t="str">
        <f t="shared" ref="O27:O34" si="8">IFERROR(I27*(K27*N27),"")</f>
        <v/>
      </c>
      <c r="P27" s="733"/>
      <c r="Q27" s="619" t="str">
        <f t="shared" ref="Q27:Q34" si="9">IFERROR((O27+P27)/I27,"")</f>
        <v/>
      </c>
      <c r="R27" s="157" t="str">
        <f t="shared" ref="R27:R34" si="10">IFERROR(IF(Q27&lt;K27*N27,Q27/K27,N27),"")</f>
        <v/>
      </c>
      <c r="S27" s="158" t="str">
        <f t="shared" ref="S27:S34" si="11">IFERROR(R27*I27,"")</f>
        <v/>
      </c>
      <c r="T27" s="614">
        <f t="shared" ref="T27:T34" si="12">IFERROR(O27+S27+P27,0)</f>
        <v>0</v>
      </c>
      <c r="U27" s="148" t="str">
        <f t="shared" si="3"/>
        <v/>
      </c>
      <c r="V27" s="614">
        <f t="shared" si="4"/>
        <v>0</v>
      </c>
      <c r="W27" s="159"/>
      <c r="X27" s="155"/>
      <c r="Y27" s="159"/>
      <c r="Z27" s="155"/>
      <c r="AA27" s="159"/>
      <c r="AB27" s="159"/>
    </row>
    <row r="28" spans="1:35" outlineLevel="1" x14ac:dyDescent="0.2">
      <c r="A28" s="151" t="s">
        <v>24</v>
      </c>
      <c r="B28" s="152"/>
      <c r="C28" s="153" t="s">
        <v>201</v>
      </c>
      <c r="D28" s="154" t="s">
        <v>201</v>
      </c>
      <c r="E28" s="700" t="str">
        <f t="shared" si="5"/>
        <v/>
      </c>
      <c r="F28" s="155"/>
      <c r="G28" s="156">
        <f t="shared" si="0"/>
        <v>0</v>
      </c>
      <c r="H28" s="143" t="str">
        <f>IF(E28=1,IF($B$3="orientato alla catena di valore aggiunto",'Dropdown input'!$C$8,IF('Panoramica SP'!$B$3="intersettoriale",'Dropdown input'!$D$8,IF($B$3="selezionare",""))),IF(E28=2,IF($B$3="orientato alla catena di valore aggiunto",'Dropdown input'!$C$9,IF('Panoramica SP'!$B$3="intersettoriale",'Dropdown input'!$D$9,IF($B$3="selezionare",""))),IF(E28=3,IF($B$3="orientato alla catena di valore aggiunto",'Dropdown input'!$C$10,IF('Panoramica SP'!$B$3="intersettoriale",'Dropdown input'!$D$10,IF($B$3="selezionare",""))),IF(E28=4,IF($B$3="orientato alla catena di valore aggiunto",'Dropdown input'!$C$11,IF('Panoramica SP'!$B$3="intersettoriale",'Dropdown input'!$D$11,IF($B$3="selezionare",""))),IF(E28=5,IF($B$3="orientato alla catena di valore aggiunto",'Dropdown input'!$C$12,IF('Panoramica SP'!$B$3="intersettoriale",'Dropdown input'!$C$12,IF($B$3="selezionare",""))),IF(E28=6,IF($B$3="orientato alla catena di valore aggiunto",'Dropdown input'!$C$13,IF('Panoramica SP'!$B$3="intersettoriale",'Dropdown input'!$D$13,IF($B$3="selezionare",""))),IF(E28=7,IF($B$3="orientato alla catena di valore aggiunto",'Dropdown input'!$C$14,IF('Panoramica SP'!$B$3="intersettoriale",'Dropdown input'!$D$14,IF($B$3="selezionare",""))),IF(E28=8,IF($B$3="orientato alla catena di valore aggiunto",'Dropdown input'!$C$15,IF('Panoramica SP'!$B$3="intersettoriale",'Dropdown input'!$D$15,IF($B$3="selezionare",""))),IF(E28=9,IF($B$3="orientato alla catena di valore aggiunto",'Dropdown input'!$C$16,IF('Panoramica SP'!$B$3="intersettoriale",'Dropdown input'!$D$16,IF($B$3="selezionare",""))),IF(E28=10,IF($B$3="orientato alla catena di valore aggiunto",'Dropdown input'!$C$17,IF('Panoramica SP'!$B$3="intersettoriale",'Dropdown input'!$D$17,IF($B$3="selezionare",""))),IF(E28=11,IF($B$3="orientato alla catena di valore aggiunto",'Dropdown input'!$C$18,IF('Panoramica SP'!$B$3="intersettoriale",'Dropdown input'!$D$18,IF($B$3="selezionare",""))),IF(E28="",""))))))))))))</f>
        <v/>
      </c>
      <c r="I28" s="156" t="str">
        <f t="shared" si="1"/>
        <v/>
      </c>
      <c r="J28" s="143" t="str">
        <f t="shared" si="6"/>
        <v/>
      </c>
      <c r="K28" s="144" t="str">
        <f>IF(E28=1,'Dropdown input'!$I$8,IF(E28=2,'Dropdown input'!$I$9,IF(E28=3,'Dropdown input'!$I$10,IF(E28=4,'Dropdown input'!$I$11,IF(E28=5,'Dropdown input'!$I$12,IF(E28=6,'Dropdown input'!$I$13,IF(E28=7,'Dropdown input'!$I$14,IF(E28=8,'Dropdown input'!$I$15,IF(E28=9,"chiarire nello specifico con l'UFAG",IF(E28=10,'Dropdown input'!$I$17,IF(E28=11,'Dropdown input'!$I$18,"")))))))))))</f>
        <v/>
      </c>
      <c r="L28" s="616" t="str">
        <f t="shared" si="2"/>
        <v/>
      </c>
      <c r="M28" s="707" t="str">
        <f>IF(E28=1,IF($B$3="orientato alla catena di valore aggiunto",'Dropdown input'!$E$8,IF($B$3="intersettoriale",'Dropdown input'!$F$8,IF($B$3="selezionare",""))),IF(E28=2,IF($B$3="orientato alla catena di valore aggiunto",'Dropdown input'!$E$9,IF($B$3="intersettoriale",'Dropdown input'!$F$9,IF($B$3="selezionare",""))),IF(E28=3,IF($B$3="orientato alla catena di valore aggiunto",'Dropdown input'!$E$10,IF($B$3="intersettoriale",'Dropdown input'!$F$10,IF($B$3="selezionare",""))),IF(E28=4,IF($B$3="orientato alla catena di valore aggiunto",'Dropdown input'!$E$11,IF($B$3="intersettoriale",'Dropdown input'!$F$11,IF($B$3="selezionare",""))),IF(E28=5,IF($B$3="orientato alla catena di valore aggiunto",'Dropdown input'!$E$12,IF($B$3="intersettoriale",'Dropdown input'!$F$12,IF($B$3="selezionare",""))),IF(E28=6,IF($B$3="orientato alla catena di valore aggiunto",'Dropdown input'!$E$13,IF($B$3="intersettoriale",'Dropdown input'!$F$13,IF($B$3="selezionare",""))),IF(E28=7,IF($B$3="orientato alla catena di valore aggiunto",'Dropdown input'!$E$14,IF($B$3="intersettoriale",'Dropdown input'!$F$14,IF($B$3="selezionare",""))),IF(E28=8,IF($B$3="orientato alla catena di valore aggiunto",'Dropdown input'!$E$15,IF($B$3="intersettoriale",'Dropdown input'!$F$15,IF($B$3="selezionare",""))),IF(E28=9,IF($B$3="orientato alla catena di valore aggiunto",'Dropdown input'!$E$16,IF($B$3="intersettoriale",'Dropdown input'!$F$16,IF($B$3="selezionare",""))),IF(E28=10,IF($B$3="orientato alla catena di valore aggiunto",'Dropdown input'!$E$17,IF($B$3="intersettoriale",'Dropdown input'!$F$17,IF($B$3="selezionare",""))),IF(E28=11,IF($B$3="orientato alla catena di valore aggiunto",'Dropdown input'!$E$18,IF($B$3="intersettoriale",'Dropdown input'!$F$18,IF($B$3="selezionare",""))),IF(E28="",""))))))))))))</f>
        <v/>
      </c>
      <c r="N28" s="145" t="str">
        <f t="shared" si="7"/>
        <v/>
      </c>
      <c r="O28" s="736" t="str">
        <f t="shared" si="8"/>
        <v/>
      </c>
      <c r="P28" s="733"/>
      <c r="Q28" s="619" t="str">
        <f t="shared" si="9"/>
        <v/>
      </c>
      <c r="R28" s="157" t="str">
        <f t="shared" si="10"/>
        <v/>
      </c>
      <c r="S28" s="158" t="str">
        <f t="shared" si="11"/>
        <v/>
      </c>
      <c r="T28" s="614">
        <f t="shared" si="12"/>
        <v>0</v>
      </c>
      <c r="U28" s="148" t="str">
        <f t="shared" si="3"/>
        <v/>
      </c>
      <c r="V28" s="614">
        <f t="shared" si="4"/>
        <v>0</v>
      </c>
      <c r="W28" s="159"/>
      <c r="X28" s="155"/>
      <c r="Y28" s="159"/>
      <c r="Z28" s="155"/>
      <c r="AA28" s="159"/>
      <c r="AB28" s="159"/>
    </row>
    <row r="29" spans="1:35" outlineLevel="1" x14ac:dyDescent="0.2">
      <c r="A29" s="151" t="s">
        <v>25</v>
      </c>
      <c r="B29" s="152"/>
      <c r="C29" s="153" t="s">
        <v>201</v>
      </c>
      <c r="D29" s="154" t="s">
        <v>201</v>
      </c>
      <c r="E29" s="700" t="str">
        <f t="shared" si="5"/>
        <v/>
      </c>
      <c r="F29" s="155"/>
      <c r="G29" s="156">
        <f t="shared" si="0"/>
        <v>0</v>
      </c>
      <c r="H29" s="143" t="str">
        <f>IF(E29=1,IF($B$3="orientato alla catena di valore aggiunto",'Dropdown input'!$C$8,IF('Panoramica SP'!$B$3="intersettoriale",'Dropdown input'!$D$8,IF($B$3="selezionare",""))),IF(E29=2,IF($B$3="orientato alla catena di valore aggiunto",'Dropdown input'!$C$9,IF('Panoramica SP'!$B$3="intersettoriale",'Dropdown input'!$D$9,IF($B$3="selezionare",""))),IF(E29=3,IF($B$3="orientato alla catena di valore aggiunto",'Dropdown input'!$C$10,IF('Panoramica SP'!$B$3="intersettoriale",'Dropdown input'!$D$10,IF($B$3="selezionare",""))),IF(E29=4,IF($B$3="orientato alla catena di valore aggiunto",'Dropdown input'!$C$11,IF('Panoramica SP'!$B$3="intersettoriale",'Dropdown input'!$D$11,IF($B$3="selezionare",""))),IF(E29=5,IF($B$3="orientato alla catena di valore aggiunto",'Dropdown input'!$C$12,IF('Panoramica SP'!$B$3="intersettoriale",'Dropdown input'!$C$12,IF($B$3="selezionare",""))),IF(E29=6,IF($B$3="orientato alla catena di valore aggiunto",'Dropdown input'!$C$13,IF('Panoramica SP'!$B$3="intersettoriale",'Dropdown input'!$D$13,IF($B$3="selezionare",""))),IF(E29=7,IF($B$3="orientato alla catena di valore aggiunto",'Dropdown input'!$C$14,IF('Panoramica SP'!$B$3="intersettoriale",'Dropdown input'!$D$14,IF($B$3="selezionare",""))),IF(E29=8,IF($B$3="orientato alla catena di valore aggiunto",'Dropdown input'!$C$15,IF('Panoramica SP'!$B$3="intersettoriale",'Dropdown input'!$D$15,IF($B$3="selezionare",""))),IF(E29=9,IF($B$3="orientato alla catena di valore aggiunto",'Dropdown input'!$C$16,IF('Panoramica SP'!$B$3="intersettoriale",'Dropdown input'!$D$16,IF($B$3="selezionare",""))),IF(E29=10,IF($B$3="orientato alla catena di valore aggiunto",'Dropdown input'!$C$17,IF('Panoramica SP'!$B$3="intersettoriale",'Dropdown input'!$D$17,IF($B$3="selezionare",""))),IF(E29=11,IF($B$3="orientato alla catena di valore aggiunto",'Dropdown input'!$C$18,IF('Panoramica SP'!$B$3="intersettoriale",'Dropdown input'!$D$18,IF($B$3="selezionare",""))),IF(E29="",""))))))))))))</f>
        <v/>
      </c>
      <c r="I29" s="156" t="str">
        <f t="shared" si="1"/>
        <v/>
      </c>
      <c r="J29" s="143" t="str">
        <f t="shared" si="6"/>
        <v/>
      </c>
      <c r="K29" s="144" t="str">
        <f>IF(E29=1,'Dropdown input'!$I$8,IF(E29=2,'Dropdown input'!$I$9,IF(E29=3,'Dropdown input'!$I$10,IF(E29=4,'Dropdown input'!$I$11,IF(E29=5,'Dropdown input'!$I$12,IF(E29=6,'Dropdown input'!$I$13,IF(E29=7,'Dropdown input'!$I$14,IF(E29=8,'Dropdown input'!$I$15,IF(E29=9,"chiarire nello specifico con l'UFAG",IF(E29=10,'Dropdown input'!$I$17,IF(E29=11,'Dropdown input'!$I$18,"")))))))))))</f>
        <v/>
      </c>
      <c r="L29" s="616" t="str">
        <f t="shared" si="2"/>
        <v/>
      </c>
      <c r="M29" s="707" t="str">
        <f>IF(E29=1,IF($B$3="orientato alla catena di valore aggiunto",'Dropdown input'!$E$8,IF($B$3="intersettoriale",'Dropdown input'!$F$8,IF($B$3="selezionare",""))),IF(E29=2,IF($B$3="orientato alla catena di valore aggiunto",'Dropdown input'!$E$9,IF($B$3="intersettoriale",'Dropdown input'!$F$9,IF($B$3="selezionare",""))),IF(E29=3,IF($B$3="orientato alla catena di valore aggiunto",'Dropdown input'!$E$10,IF($B$3="intersettoriale",'Dropdown input'!$F$10,IF($B$3="selezionare",""))),IF(E29=4,IF($B$3="orientato alla catena di valore aggiunto",'Dropdown input'!$E$11,IF($B$3="intersettoriale",'Dropdown input'!$F$11,IF($B$3="selezionare",""))),IF(E29=5,IF($B$3="orientato alla catena di valore aggiunto",'Dropdown input'!$E$12,IF($B$3="intersettoriale",'Dropdown input'!$F$12,IF($B$3="selezionare",""))),IF(E29=6,IF($B$3="orientato alla catena di valore aggiunto",'Dropdown input'!$E$13,IF($B$3="intersettoriale",'Dropdown input'!$F$13,IF($B$3="selezionare",""))),IF(E29=7,IF($B$3="orientato alla catena di valore aggiunto",'Dropdown input'!$E$14,IF($B$3="intersettoriale",'Dropdown input'!$F$14,IF($B$3="selezionare",""))),IF(E29=8,IF($B$3="orientato alla catena di valore aggiunto",'Dropdown input'!$E$15,IF($B$3="intersettoriale",'Dropdown input'!$F$15,IF($B$3="selezionare",""))),IF(E29=9,IF($B$3="orientato alla catena di valore aggiunto",'Dropdown input'!$E$16,IF($B$3="intersettoriale",'Dropdown input'!$F$16,IF($B$3="selezionare",""))),IF(E29=10,IF($B$3="orientato alla catena di valore aggiunto",'Dropdown input'!$E$17,IF($B$3="intersettoriale",'Dropdown input'!$F$17,IF($B$3="selezionare",""))),IF(E29=11,IF($B$3="orientato alla catena di valore aggiunto",'Dropdown input'!$E$18,IF($B$3="intersettoriale",'Dropdown input'!$F$18,IF($B$3="selezionare",""))),IF(E29="",""))))))))))))</f>
        <v/>
      </c>
      <c r="N29" s="145" t="str">
        <f t="shared" si="7"/>
        <v/>
      </c>
      <c r="O29" s="736" t="str">
        <f>IFERROR(I29*(K29*N29),"")</f>
        <v/>
      </c>
      <c r="P29" s="733"/>
      <c r="Q29" s="619" t="str">
        <f t="shared" si="9"/>
        <v/>
      </c>
      <c r="R29" s="157" t="str">
        <f>IFERROR(IF(Q29&lt;K29*N29,Q29/K29,N29),"")</f>
        <v/>
      </c>
      <c r="S29" s="158" t="str">
        <f t="shared" si="11"/>
        <v/>
      </c>
      <c r="T29" s="614">
        <f t="shared" si="12"/>
        <v>0</v>
      </c>
      <c r="U29" s="148" t="str">
        <f t="shared" si="3"/>
        <v/>
      </c>
      <c r="V29" s="614">
        <f t="shared" si="4"/>
        <v>0</v>
      </c>
      <c r="W29" s="159"/>
      <c r="X29" s="155"/>
      <c r="Y29" s="159"/>
      <c r="Z29" s="155"/>
      <c r="AA29" s="159"/>
      <c r="AB29" s="159"/>
    </row>
    <row r="30" spans="1:35" outlineLevel="1" x14ac:dyDescent="0.2">
      <c r="A30" s="151" t="s">
        <v>26</v>
      </c>
      <c r="B30" s="152"/>
      <c r="C30" s="153" t="s">
        <v>201</v>
      </c>
      <c r="D30" s="154" t="s">
        <v>201</v>
      </c>
      <c r="E30" s="700" t="str">
        <f t="shared" si="5"/>
        <v/>
      </c>
      <c r="F30" s="155"/>
      <c r="G30" s="156">
        <f t="shared" si="0"/>
        <v>0</v>
      </c>
      <c r="H30" s="143" t="str">
        <f>IF(E30=1,IF($B$3="orientato alla catena di valore aggiunto",'Dropdown input'!$C$8,IF('Panoramica SP'!$B$3="intersettoriale",'Dropdown input'!$D$8,IF($B$3="selezionare",""))),IF(E30=2,IF($B$3="orientato alla catena di valore aggiunto",'Dropdown input'!$C$9,IF('Panoramica SP'!$B$3="intersettoriale",'Dropdown input'!$D$9,IF($B$3="selezionare",""))),IF(E30=3,IF($B$3="orientato alla catena di valore aggiunto",'Dropdown input'!$C$10,IF('Panoramica SP'!$B$3="intersettoriale",'Dropdown input'!$D$10,IF($B$3="selezionare",""))),IF(E30=4,IF($B$3="orientato alla catena di valore aggiunto",'Dropdown input'!$C$11,IF('Panoramica SP'!$B$3="intersettoriale",'Dropdown input'!$D$11,IF($B$3="selezionare",""))),IF(E30=5,IF($B$3="orientato alla catena di valore aggiunto",'Dropdown input'!$C$12,IF('Panoramica SP'!$B$3="intersettoriale",'Dropdown input'!$C$12,IF($B$3="selezionare",""))),IF(E30=6,IF($B$3="orientato alla catena di valore aggiunto",'Dropdown input'!$C$13,IF('Panoramica SP'!$B$3="intersettoriale",'Dropdown input'!$D$13,IF($B$3="selezionare",""))),IF(E30=7,IF($B$3="orientato alla catena di valore aggiunto",'Dropdown input'!$C$14,IF('Panoramica SP'!$B$3="intersettoriale",'Dropdown input'!$D$14,IF($B$3="selezionare",""))),IF(E30=8,IF($B$3="orientato alla catena di valore aggiunto",'Dropdown input'!$C$15,IF('Panoramica SP'!$B$3="intersettoriale",'Dropdown input'!$D$15,IF($B$3="selezionare",""))),IF(E30=9,IF($B$3="orientato alla catena di valore aggiunto",'Dropdown input'!$C$16,IF('Panoramica SP'!$B$3="intersettoriale",'Dropdown input'!$D$16,IF($B$3="selezionare",""))),IF(E30=10,IF($B$3="orientato alla catena di valore aggiunto",'Dropdown input'!$C$17,IF('Panoramica SP'!$B$3="intersettoriale",'Dropdown input'!$D$17,IF($B$3="selezionare",""))),IF(E30=11,IF($B$3="orientato alla catena di valore aggiunto",'Dropdown input'!$C$18,IF('Panoramica SP'!$B$3="intersettoriale",'Dropdown input'!$D$18,IF($B$3="selezionare",""))),IF(E30="",""))))))))))))</f>
        <v/>
      </c>
      <c r="I30" s="156" t="str">
        <f t="shared" si="1"/>
        <v/>
      </c>
      <c r="J30" s="143" t="str">
        <f t="shared" si="6"/>
        <v/>
      </c>
      <c r="K30" s="144" t="str">
        <f>IF(E30=1,'Dropdown input'!$I$8,IF(E30=2,'Dropdown input'!$I$9,IF(E30=3,'Dropdown input'!$I$10,IF(E30=4,'Dropdown input'!$I$11,IF(E30=5,'Dropdown input'!$I$12,IF(E30=6,'Dropdown input'!$I$13,IF(E30=7,'Dropdown input'!$I$14,IF(E30=8,'Dropdown input'!$I$15,IF(E30=9,"chiarire nello specifico con l'UFAG",IF(E30=10,'Dropdown input'!$I$17,IF(E30=11,'Dropdown input'!$I$18,"")))))))))))</f>
        <v/>
      </c>
      <c r="L30" s="616" t="str">
        <f t="shared" si="2"/>
        <v/>
      </c>
      <c r="M30" s="707" t="str">
        <f>IF(E30=1,IF($B$3="orientato alla catena di valore aggiunto",'Dropdown input'!$E$8,IF($B$3="intersettoriale",'Dropdown input'!$F$8,IF($B$3="selezionare",""))),IF(E30=2,IF($B$3="orientato alla catena di valore aggiunto",'Dropdown input'!$E$9,IF($B$3="intersettoriale",'Dropdown input'!$F$9,IF($B$3="selezionare",""))),IF(E30=3,IF($B$3="orientato alla catena di valore aggiunto",'Dropdown input'!$E$10,IF($B$3="intersettoriale",'Dropdown input'!$F$10,IF($B$3="selezionare",""))),IF(E30=4,IF($B$3="orientato alla catena di valore aggiunto",'Dropdown input'!$E$11,IF($B$3="intersettoriale",'Dropdown input'!$F$11,IF($B$3="selezionare",""))),IF(E30=5,IF($B$3="orientato alla catena di valore aggiunto",'Dropdown input'!$E$12,IF($B$3="intersettoriale",'Dropdown input'!$F$12,IF($B$3="selezionare",""))),IF(E30=6,IF($B$3="orientato alla catena di valore aggiunto",'Dropdown input'!$E$13,IF($B$3="intersettoriale",'Dropdown input'!$F$13,IF($B$3="selezionare",""))),IF(E30=7,IF($B$3="orientato alla catena di valore aggiunto",'Dropdown input'!$E$14,IF($B$3="intersettoriale",'Dropdown input'!$F$14,IF($B$3="selezionare",""))),IF(E30=8,IF($B$3="orientato alla catena di valore aggiunto",'Dropdown input'!$E$15,IF($B$3="intersettoriale",'Dropdown input'!$F$15,IF($B$3="selezionare",""))),IF(E30=9,IF($B$3="orientato alla catena di valore aggiunto",'Dropdown input'!$E$16,IF($B$3="intersettoriale",'Dropdown input'!$F$16,IF($B$3="selezionare",""))),IF(E30=10,IF($B$3="orientato alla catena di valore aggiunto",'Dropdown input'!$E$17,IF($B$3="intersettoriale",'Dropdown input'!$F$17,IF($B$3="selezionare",""))),IF(E30=11,IF($B$3="orientato alla catena di valore aggiunto",'Dropdown input'!$E$18,IF($B$3="intersettoriale",'Dropdown input'!$F$18,IF($B$3="selezionare",""))),IF(E30="",""))))))))))))</f>
        <v/>
      </c>
      <c r="N30" s="145" t="str">
        <f t="shared" si="7"/>
        <v/>
      </c>
      <c r="O30" s="736" t="str">
        <f>IFERROR(I30*(K30*N30),"")</f>
        <v/>
      </c>
      <c r="P30" s="733"/>
      <c r="Q30" s="619" t="str">
        <f t="shared" si="9"/>
        <v/>
      </c>
      <c r="R30" s="157" t="str">
        <f t="shared" si="10"/>
        <v/>
      </c>
      <c r="S30" s="158" t="str">
        <f>IFERROR(R30*I30,"")</f>
        <v/>
      </c>
      <c r="T30" s="614">
        <f t="shared" si="12"/>
        <v>0</v>
      </c>
      <c r="U30" s="148" t="str">
        <f t="shared" si="3"/>
        <v/>
      </c>
      <c r="V30" s="614">
        <f t="shared" si="4"/>
        <v>0</v>
      </c>
      <c r="W30" s="159"/>
      <c r="X30" s="155"/>
      <c r="Y30" s="159"/>
      <c r="Z30" s="155"/>
      <c r="AA30" s="159"/>
      <c r="AB30" s="159"/>
    </row>
    <row r="31" spans="1:35" outlineLevel="1" x14ac:dyDescent="0.2">
      <c r="A31" s="151" t="s">
        <v>27</v>
      </c>
      <c r="B31" s="152"/>
      <c r="C31" s="153" t="s">
        <v>201</v>
      </c>
      <c r="D31" s="154" t="s">
        <v>201</v>
      </c>
      <c r="E31" s="700" t="str">
        <f t="shared" si="5"/>
        <v/>
      </c>
      <c r="F31" s="155"/>
      <c r="G31" s="156">
        <f t="shared" si="0"/>
        <v>0</v>
      </c>
      <c r="H31" s="143" t="str">
        <f>IF(E31=1,IF($B$3="orientato alla catena di valore aggiunto",'Dropdown input'!$C$8,IF('Panoramica SP'!$B$3="intersettoriale",'Dropdown input'!$D$8,IF($B$3="selezionare",""))),IF(E31=2,IF($B$3="orientato alla catena di valore aggiunto",'Dropdown input'!$C$9,IF('Panoramica SP'!$B$3="intersettoriale",'Dropdown input'!$D$9,IF($B$3="selezionare",""))),IF(E31=3,IF($B$3="orientato alla catena di valore aggiunto",'Dropdown input'!$C$10,IF('Panoramica SP'!$B$3="intersettoriale",'Dropdown input'!$D$10,IF($B$3="selezionare",""))),IF(E31=4,IF($B$3="orientato alla catena di valore aggiunto",'Dropdown input'!$C$11,IF('Panoramica SP'!$B$3="intersettoriale",'Dropdown input'!$D$11,IF($B$3="selezionare",""))),IF(E31=5,IF($B$3="orientato alla catena di valore aggiunto",'Dropdown input'!$C$12,IF('Panoramica SP'!$B$3="intersettoriale",'Dropdown input'!$C$12,IF($B$3="selezionare",""))),IF(E31=6,IF($B$3="orientato alla catena di valore aggiunto",'Dropdown input'!$C$13,IF('Panoramica SP'!$B$3="intersettoriale",'Dropdown input'!$D$13,IF($B$3="selezionare",""))),IF(E31=7,IF($B$3="orientato alla catena di valore aggiunto",'Dropdown input'!$C$14,IF('Panoramica SP'!$B$3="intersettoriale",'Dropdown input'!$D$14,IF($B$3="selezionare",""))),IF(E31=8,IF($B$3="orientato alla catena di valore aggiunto",'Dropdown input'!$C$15,IF('Panoramica SP'!$B$3="intersettoriale",'Dropdown input'!$D$15,IF($B$3="selezionare",""))),IF(E31=9,IF($B$3="orientato alla catena di valore aggiunto",'Dropdown input'!$C$16,IF('Panoramica SP'!$B$3="intersettoriale",'Dropdown input'!$D$16,IF($B$3="selezionare",""))),IF(E31=10,IF($B$3="orientato alla catena di valore aggiunto",'Dropdown input'!$C$17,IF('Panoramica SP'!$B$3="intersettoriale",'Dropdown input'!$D$17,IF($B$3="selezionare",""))),IF(E31=11,IF($B$3="orientato alla catena di valore aggiunto",'Dropdown input'!$C$18,IF('Panoramica SP'!$B$3="intersettoriale",'Dropdown input'!$D$18,IF($B$3="selezionare",""))),IF(E31="",""))))))))))))</f>
        <v/>
      </c>
      <c r="I31" s="156" t="str">
        <f t="shared" si="1"/>
        <v/>
      </c>
      <c r="J31" s="143" t="str">
        <f t="shared" si="6"/>
        <v/>
      </c>
      <c r="K31" s="144" t="str">
        <f>IF(E31=1,'Dropdown input'!$I$8,IF(E31=2,'Dropdown input'!$I$9,IF(E31=3,'Dropdown input'!$I$10,IF(E31=4,'Dropdown input'!$I$11,IF(E31=5,'Dropdown input'!$I$12,IF(E31=6,'Dropdown input'!$I$13,IF(E31=7,'Dropdown input'!$I$14,IF(E31=8,'Dropdown input'!$I$15,IF(E31=9,"chiarire nello specifico con l'UFAG",IF(E31=10,'Dropdown input'!$I$17,IF(E31=11,'Dropdown input'!$I$18,"")))))))))))</f>
        <v/>
      </c>
      <c r="L31" s="616" t="str">
        <f t="shared" si="2"/>
        <v/>
      </c>
      <c r="M31" s="707" t="str">
        <f>IF(E31=1,IF($B$3="orientato alla catena di valore aggiunto",'Dropdown input'!$E$8,IF($B$3="intersettoriale",'Dropdown input'!$F$8,IF($B$3="selezionare",""))),IF(E31=2,IF($B$3="orientato alla catena di valore aggiunto",'Dropdown input'!$E$9,IF($B$3="intersettoriale",'Dropdown input'!$F$9,IF($B$3="selezionare",""))),IF(E31=3,IF($B$3="orientato alla catena di valore aggiunto",'Dropdown input'!$E$10,IF($B$3="intersettoriale",'Dropdown input'!$F$10,IF($B$3="selezionare",""))),IF(E31=4,IF($B$3="orientato alla catena di valore aggiunto",'Dropdown input'!$E$11,IF($B$3="intersettoriale",'Dropdown input'!$F$11,IF($B$3="selezionare",""))),IF(E31=5,IF($B$3="orientato alla catena di valore aggiunto",'Dropdown input'!$E$12,IF($B$3="intersettoriale",'Dropdown input'!$F$12,IF($B$3="selezionare",""))),IF(E31=6,IF($B$3="orientato alla catena di valore aggiunto",'Dropdown input'!$E$13,IF($B$3="intersettoriale",'Dropdown input'!$F$13,IF($B$3="selezionare",""))),IF(E31=7,IF($B$3="orientato alla catena di valore aggiunto",'Dropdown input'!$E$14,IF($B$3="intersettoriale",'Dropdown input'!$F$14,IF($B$3="selezionare",""))),IF(E31=8,IF($B$3="orientato alla catena di valore aggiunto",'Dropdown input'!$E$15,IF($B$3="intersettoriale",'Dropdown input'!$F$15,IF($B$3="selezionare",""))),IF(E31=9,IF($B$3="orientato alla catena di valore aggiunto",'Dropdown input'!$E$16,IF($B$3="intersettoriale",'Dropdown input'!$F$16,IF($B$3="selezionare",""))),IF(E31=10,IF($B$3="orientato alla catena di valore aggiunto",'Dropdown input'!$E$17,IF($B$3="intersettoriale",'Dropdown input'!$F$17,IF($B$3="selezionare",""))),IF(E31=11,IF($B$3="orientato alla catena di valore aggiunto",'Dropdown input'!$E$18,IF($B$3="intersettoriale",'Dropdown input'!$F$18,IF($B$3="selezionare",""))),IF(E31="",""))))))))))))</f>
        <v/>
      </c>
      <c r="N31" s="145" t="str">
        <f t="shared" si="7"/>
        <v/>
      </c>
      <c r="O31" s="736" t="str">
        <f t="shared" si="8"/>
        <v/>
      </c>
      <c r="P31" s="733"/>
      <c r="Q31" s="619" t="str">
        <f t="shared" si="9"/>
        <v/>
      </c>
      <c r="R31" s="157" t="str">
        <f t="shared" si="10"/>
        <v/>
      </c>
      <c r="S31" s="158" t="str">
        <f t="shared" si="11"/>
        <v/>
      </c>
      <c r="T31" s="614">
        <f t="shared" si="12"/>
        <v>0</v>
      </c>
      <c r="U31" s="148" t="str">
        <f t="shared" si="3"/>
        <v/>
      </c>
      <c r="V31" s="614">
        <f t="shared" si="4"/>
        <v>0</v>
      </c>
      <c r="W31" s="159"/>
      <c r="X31" s="155"/>
      <c r="Y31" s="159"/>
      <c r="Z31" s="155"/>
      <c r="AA31" s="159"/>
      <c r="AB31" s="159"/>
    </row>
    <row r="32" spans="1:35" outlineLevel="1" x14ac:dyDescent="0.2">
      <c r="A32" s="151" t="s">
        <v>28</v>
      </c>
      <c r="B32" s="152"/>
      <c r="C32" s="153" t="s">
        <v>201</v>
      </c>
      <c r="D32" s="154" t="s">
        <v>201</v>
      </c>
      <c r="E32" s="700" t="str">
        <f t="shared" si="5"/>
        <v/>
      </c>
      <c r="F32" s="155"/>
      <c r="G32" s="156">
        <f t="shared" si="0"/>
        <v>0</v>
      </c>
      <c r="H32" s="143" t="str">
        <f>IF(E32=1,IF($B$3="orientato alla catena di valore aggiunto",'Dropdown input'!$C$8,IF('Panoramica SP'!$B$3="intersettoriale",'Dropdown input'!$D$8,IF($B$3="selezionare",""))),IF(E32=2,IF($B$3="orientato alla catena di valore aggiunto",'Dropdown input'!$C$9,IF('Panoramica SP'!$B$3="intersettoriale",'Dropdown input'!$D$9,IF($B$3="selezionare",""))),IF(E32=3,IF($B$3="orientato alla catena di valore aggiunto",'Dropdown input'!$C$10,IF('Panoramica SP'!$B$3="intersettoriale",'Dropdown input'!$D$10,IF($B$3="selezionare",""))),IF(E32=4,IF($B$3="orientato alla catena di valore aggiunto",'Dropdown input'!$C$11,IF('Panoramica SP'!$B$3="intersettoriale",'Dropdown input'!$D$11,IF($B$3="selezionare",""))),IF(E32=5,IF($B$3="orientato alla catena di valore aggiunto",'Dropdown input'!$C$12,IF('Panoramica SP'!$B$3="intersettoriale",'Dropdown input'!$C$12,IF($B$3="selezionare",""))),IF(E32=6,IF($B$3="orientato alla catena di valore aggiunto",'Dropdown input'!$C$13,IF('Panoramica SP'!$B$3="intersettoriale",'Dropdown input'!$D$13,IF($B$3="selezionare",""))),IF(E32=7,IF($B$3="orientato alla catena di valore aggiunto",'Dropdown input'!$C$14,IF('Panoramica SP'!$B$3="intersettoriale",'Dropdown input'!$D$14,IF($B$3="selezionare",""))),IF(E32=8,IF($B$3="orientato alla catena di valore aggiunto",'Dropdown input'!$C$15,IF('Panoramica SP'!$B$3="intersettoriale",'Dropdown input'!$D$15,IF($B$3="selezionare",""))),IF(E32=9,IF($B$3="orientato alla catena di valore aggiunto",'Dropdown input'!$C$16,IF('Panoramica SP'!$B$3="intersettoriale",'Dropdown input'!$D$16,IF($B$3="selezionare",""))),IF(E32=10,IF($B$3="orientato alla catena di valore aggiunto",'Dropdown input'!$C$17,IF('Panoramica SP'!$B$3="intersettoriale",'Dropdown input'!$D$17,IF($B$3="selezionare",""))),IF(E32=11,IF($B$3="orientato alla catena di valore aggiunto",'Dropdown input'!$C$18,IF('Panoramica SP'!$B$3="intersettoriale",'Dropdown input'!$D$18,IF($B$3="selezionare",""))),IF(E32="",""))))))))))))</f>
        <v/>
      </c>
      <c r="I32" s="156" t="str">
        <f t="shared" si="1"/>
        <v/>
      </c>
      <c r="J32" s="143" t="str">
        <f t="shared" si="6"/>
        <v/>
      </c>
      <c r="K32" s="144" t="str">
        <f>IF(E32=1,'Dropdown input'!$I$8,IF(E32=2,'Dropdown input'!$I$9,IF(E32=3,'Dropdown input'!$I$10,IF(E32=4,'Dropdown input'!$I$11,IF(E32=5,'Dropdown input'!$I$12,IF(E32=6,'Dropdown input'!$I$13,IF(E32=7,'Dropdown input'!$I$14,IF(E32=8,'Dropdown input'!$I$15,IF(E32=9,"chiarire nello specifico con l'UFAG",IF(E32=10,'Dropdown input'!$I$17,IF(E32=11,'Dropdown input'!$I$18,"")))))))))))</f>
        <v/>
      </c>
      <c r="L32" s="616" t="str">
        <f t="shared" si="2"/>
        <v/>
      </c>
      <c r="M32" s="707" t="str">
        <f>IF(E32=1,IF($B$3="orientato alla catena di valore aggiunto",'Dropdown input'!$E$8,IF($B$3="intersettoriale",'Dropdown input'!$F$8,IF($B$3="selezionare",""))),IF(E32=2,IF($B$3="orientato alla catena di valore aggiunto",'Dropdown input'!$E$9,IF($B$3="intersettoriale",'Dropdown input'!$F$9,IF($B$3="selezionare",""))),IF(E32=3,IF($B$3="orientato alla catena di valore aggiunto",'Dropdown input'!$E$10,IF($B$3="intersettoriale",'Dropdown input'!$F$10,IF($B$3="selezionare",""))),IF(E32=4,IF($B$3="orientato alla catena di valore aggiunto",'Dropdown input'!$E$11,IF($B$3="intersettoriale",'Dropdown input'!$F$11,IF($B$3="selezionare",""))),IF(E32=5,IF($B$3="orientato alla catena di valore aggiunto",'Dropdown input'!$E$12,IF($B$3="intersettoriale",'Dropdown input'!$F$12,IF($B$3="selezionare",""))),IF(E32=6,IF($B$3="orientato alla catena di valore aggiunto",'Dropdown input'!$E$13,IF($B$3="intersettoriale",'Dropdown input'!$F$13,IF($B$3="selezionare",""))),IF(E32=7,IF($B$3="orientato alla catena di valore aggiunto",'Dropdown input'!$E$14,IF($B$3="intersettoriale",'Dropdown input'!$F$14,IF($B$3="selezionare",""))),IF(E32=8,IF($B$3="orientato alla catena di valore aggiunto",'Dropdown input'!$E$15,IF($B$3="intersettoriale",'Dropdown input'!$F$15,IF($B$3="selezionare",""))),IF(E32=9,IF($B$3="orientato alla catena di valore aggiunto",'Dropdown input'!$E$16,IF($B$3="intersettoriale",'Dropdown input'!$F$16,IF($B$3="selezionare",""))),IF(E32=10,IF($B$3="orientato alla catena di valore aggiunto",'Dropdown input'!$E$17,IF($B$3="intersettoriale",'Dropdown input'!$F$17,IF($B$3="selezionare",""))),IF(E32=11,IF($B$3="orientato alla catena di valore aggiunto",'Dropdown input'!$E$18,IF($B$3="intersettoriale",'Dropdown input'!$F$18,IF($B$3="selezionare",""))),IF(E32="",""))))))))))))</f>
        <v/>
      </c>
      <c r="N32" s="145" t="str">
        <f t="shared" si="7"/>
        <v/>
      </c>
      <c r="O32" s="736" t="str">
        <f t="shared" si="8"/>
        <v/>
      </c>
      <c r="P32" s="733"/>
      <c r="Q32" s="619" t="str">
        <f t="shared" si="9"/>
        <v/>
      </c>
      <c r="R32" s="157" t="str">
        <f t="shared" si="10"/>
        <v/>
      </c>
      <c r="S32" s="158" t="str">
        <f t="shared" si="11"/>
        <v/>
      </c>
      <c r="T32" s="614">
        <f t="shared" si="12"/>
        <v>0</v>
      </c>
      <c r="U32" s="148" t="str">
        <f t="shared" si="3"/>
        <v/>
      </c>
      <c r="V32" s="614">
        <f t="shared" si="4"/>
        <v>0</v>
      </c>
      <c r="W32" s="159"/>
      <c r="X32" s="155"/>
      <c r="Y32" s="159"/>
      <c r="Z32" s="155"/>
      <c r="AA32" s="159"/>
      <c r="AB32" s="159"/>
    </row>
    <row r="33" spans="1:35" outlineLevel="1" x14ac:dyDescent="0.2">
      <c r="A33" s="161" t="s">
        <v>29</v>
      </c>
      <c r="B33" s="162"/>
      <c r="C33" s="163" t="s">
        <v>201</v>
      </c>
      <c r="D33" s="154" t="s">
        <v>201</v>
      </c>
      <c r="E33" s="700" t="str">
        <f t="shared" si="5"/>
        <v/>
      </c>
      <c r="F33" s="165"/>
      <c r="G33" s="166">
        <f t="shared" si="0"/>
        <v>0</v>
      </c>
      <c r="H33" s="143" t="str">
        <f>IF(E33=1,IF($B$3="orientato alla catena di valore aggiunto",'Dropdown input'!$C$8,IF('Panoramica SP'!$B$3="intersettoriale",'Dropdown input'!$D$8,IF($B$3="selezionare",""))),IF(E33=2,IF($B$3="orientato alla catena di valore aggiunto",'Dropdown input'!$C$9,IF('Panoramica SP'!$B$3="intersettoriale",'Dropdown input'!$D$9,IF($B$3="selezionare",""))),IF(E33=3,IF($B$3="orientato alla catena di valore aggiunto",'Dropdown input'!$C$10,IF('Panoramica SP'!$B$3="intersettoriale",'Dropdown input'!$D$10,IF($B$3="selezionare",""))),IF(E33=4,IF($B$3="orientato alla catena di valore aggiunto",'Dropdown input'!$C$11,IF('Panoramica SP'!$B$3="intersettoriale",'Dropdown input'!$D$11,IF($B$3="selezionare",""))),IF(E33=5,IF($B$3="orientato alla catena di valore aggiunto",'Dropdown input'!$C$12,IF('Panoramica SP'!$B$3="intersettoriale",'Dropdown input'!$C$12,IF($B$3="selezionare",""))),IF(E33=6,IF($B$3="orientato alla catena di valore aggiunto",'Dropdown input'!$C$13,IF('Panoramica SP'!$B$3="intersettoriale",'Dropdown input'!$D$13,IF($B$3="selezionare",""))),IF(E33=7,IF($B$3="orientato alla catena di valore aggiunto",'Dropdown input'!$C$14,IF('Panoramica SP'!$B$3="intersettoriale",'Dropdown input'!$D$14,IF($B$3="selezionare",""))),IF(E33=8,IF($B$3="orientato alla catena di valore aggiunto",'Dropdown input'!$C$15,IF('Panoramica SP'!$B$3="intersettoriale",'Dropdown input'!$D$15,IF($B$3="selezionare",""))),IF(E33=9,IF($B$3="orientato alla catena di valore aggiunto",'Dropdown input'!$C$16,IF('Panoramica SP'!$B$3="intersettoriale",'Dropdown input'!$D$16,IF($B$3="selezionare",""))),IF(E33=10,IF($B$3="orientato alla catena di valore aggiunto",'Dropdown input'!$C$17,IF('Panoramica SP'!$B$3="intersettoriale",'Dropdown input'!$D$17,IF($B$3="selezionare",""))),IF(E33=11,IF($B$3="orientato alla catena di valore aggiunto",'Dropdown input'!$C$18,IF('Panoramica SP'!$B$3="intersettoriale",'Dropdown input'!$D$18,IF($B$3="selezionare",""))),IF(E33="",""))))))))))))</f>
        <v/>
      </c>
      <c r="I33" s="166" t="str">
        <f t="shared" si="1"/>
        <v/>
      </c>
      <c r="J33" s="143" t="str">
        <f t="shared" si="6"/>
        <v/>
      </c>
      <c r="K33" s="144" t="str">
        <f>IF(E33=1,'Dropdown input'!$I$8,IF(E33=2,'Dropdown input'!$I$9,IF(E33=3,'Dropdown input'!$I$10,IF(E33=4,'Dropdown input'!$I$11,IF(E33=5,'Dropdown input'!$I$12,IF(E33=6,'Dropdown input'!$I$13,IF(E33=7,'Dropdown input'!$I$14,IF(E33=8,'Dropdown input'!$I$15,IF(E33=9,"chiarire nello specifico con l'UFAG",IF(E33=10,'Dropdown input'!$I$17,IF(E33=11,'Dropdown input'!$I$18,"")))))))))))</f>
        <v/>
      </c>
      <c r="L33" s="616" t="str">
        <f t="shared" si="2"/>
        <v/>
      </c>
      <c r="M33" s="707" t="str">
        <f>IF(E33=1,IF($B$3="orientato alla catena di valore aggiunto",'Dropdown input'!$E$8,IF($B$3="intersettoriale",'Dropdown input'!$F$8,IF($B$3="selezionare",""))),IF(E33=2,IF($B$3="orientato alla catena di valore aggiunto",'Dropdown input'!$E$9,IF($B$3="intersettoriale",'Dropdown input'!$F$9,IF($B$3="selezionare",""))),IF(E33=3,IF($B$3="orientato alla catena di valore aggiunto",'Dropdown input'!$E$10,IF($B$3="intersettoriale",'Dropdown input'!$F$10,IF($B$3="selezionare",""))),IF(E33=4,IF($B$3="orientato alla catena di valore aggiunto",'Dropdown input'!$E$11,IF($B$3="intersettoriale",'Dropdown input'!$F$11,IF($B$3="selezionare",""))),IF(E33=5,IF($B$3="orientato alla catena di valore aggiunto",'Dropdown input'!$E$12,IF($B$3="intersettoriale",'Dropdown input'!$F$12,IF($B$3="selezionare",""))),IF(E33=6,IF($B$3="orientato alla catena di valore aggiunto",'Dropdown input'!$E$13,IF($B$3="intersettoriale",'Dropdown input'!$F$13,IF($B$3="selezionare",""))),IF(E33=7,IF($B$3="orientato alla catena di valore aggiunto",'Dropdown input'!$E$14,IF($B$3="intersettoriale",'Dropdown input'!$F$14,IF($B$3="selezionare",""))),IF(E33=8,IF($B$3="orientato alla catena di valore aggiunto",'Dropdown input'!$E$15,IF($B$3="intersettoriale",'Dropdown input'!$F$15,IF($B$3="selezionare",""))),IF(E33=9,IF($B$3="orientato alla catena di valore aggiunto",'Dropdown input'!$E$16,IF($B$3="intersettoriale",'Dropdown input'!$F$16,IF($B$3="selezionare",""))),IF(E33=10,IF($B$3="orientato alla catena di valore aggiunto",'Dropdown input'!$E$17,IF($B$3="intersettoriale",'Dropdown input'!$F$17,IF($B$3="selezionare",""))),IF(E33=11,IF($B$3="orientato alla catena di valore aggiunto",'Dropdown input'!$E$18,IF($B$3="intersettoriale",'Dropdown input'!$F$18,IF($B$3="selezionare",""))),IF(E33="",""))))))))))))</f>
        <v/>
      </c>
      <c r="N33" s="145" t="str">
        <f t="shared" si="7"/>
        <v/>
      </c>
      <c r="O33" s="736" t="str">
        <f>IFERROR(I33*(K33*N33),"")</f>
        <v/>
      </c>
      <c r="P33" s="733"/>
      <c r="Q33" s="619" t="str">
        <f t="shared" si="9"/>
        <v/>
      </c>
      <c r="R33" s="157" t="str">
        <f t="shared" si="10"/>
        <v/>
      </c>
      <c r="S33" s="168" t="str">
        <f>IFERROR(R33*I33,"")</f>
        <v/>
      </c>
      <c r="T33" s="614">
        <f t="shared" si="12"/>
        <v>0</v>
      </c>
      <c r="U33" s="169" t="str">
        <f t="shared" si="3"/>
        <v/>
      </c>
      <c r="V33" s="614">
        <f t="shared" si="4"/>
        <v>0</v>
      </c>
      <c r="W33" s="170"/>
      <c r="X33" s="165"/>
      <c r="Y33" s="170"/>
      <c r="Z33" s="165"/>
      <c r="AA33" s="170"/>
      <c r="AB33" s="170"/>
    </row>
    <row r="34" spans="1:35" s="183" customFormat="1" outlineLevel="1" x14ac:dyDescent="0.2">
      <c r="A34" s="173" t="s">
        <v>249</v>
      </c>
      <c r="B34" s="174"/>
      <c r="C34" s="175" t="s">
        <v>201</v>
      </c>
      <c r="D34" s="176" t="s">
        <v>201</v>
      </c>
      <c r="E34" s="701" t="str">
        <f t="shared" si="5"/>
        <v/>
      </c>
      <c r="F34" s="177"/>
      <c r="G34" s="178">
        <f t="shared" si="0"/>
        <v>0</v>
      </c>
      <c r="H34" s="703" t="str">
        <f>IF(E34=1,IF($B$3="orientato alla catena di valore aggiunto",'Dropdown input'!$C$8,IF('Panoramica SP'!$B$3="intersettoriale",'Dropdown input'!$D$8,IF($B$3="selezionare",""))),IF(E34=2,IF($B$3="orientato alla catena di valore aggiunto",'Dropdown input'!$C$9,IF('Panoramica SP'!$B$3="intersettoriale",'Dropdown input'!$D$9,IF($B$3="selezionare",""))),IF(E34=3,IF($B$3="orientato alla catena di valore aggiunto",'Dropdown input'!$C$10,IF('Panoramica SP'!$B$3="intersettoriale",'Dropdown input'!$D$10,IF($B$3="selezionare",""))),IF(E34=4,IF($B$3="orientato alla catena di valore aggiunto",'Dropdown input'!$C$11,IF('Panoramica SP'!$B$3="intersettoriale",'Dropdown input'!$D$11,IF($B$3="selezionare",""))),IF(E34=5,IF($B$3="orientato alla catena di valore aggiunto",'Dropdown input'!$C$12,IF('Panoramica SP'!$B$3="intersettoriale",'Dropdown input'!$C$12,IF($B$3="selezionare",""))),IF(E34=6,IF($B$3="orientato alla catena di valore aggiunto",'Dropdown input'!$C$13,IF('Panoramica SP'!$B$3="intersettoriale",'Dropdown input'!$D$13,IF($B$3="selezionare",""))),IF(E34=7,IF($B$3="orientato alla catena di valore aggiunto",'Dropdown input'!$C$14,IF('Panoramica SP'!$B$3="intersettoriale",'Dropdown input'!$D$14,IF($B$3="selezionare",""))),IF(E34=8,IF($B$3="orientato alla catena di valore aggiunto",'Dropdown input'!$C$15,IF('Panoramica SP'!$B$3="intersettoriale",'Dropdown input'!$D$15,IF($B$3="selezionare",""))),IF(E34=9,IF($B$3="orientato alla catena di valore aggiunto",'Dropdown input'!$C$16,IF('Panoramica SP'!$B$3="intersettoriale",'Dropdown input'!$D$16,IF($B$3="selezionare",""))),IF(E34=10,IF($B$3="orientato alla catena di valore aggiunto",'Dropdown input'!$C$17,IF('Panoramica SP'!$B$3="intersettoriale",'Dropdown input'!$D$17,IF($B$3="selezionare",""))),IF(E34=11,IF($B$3="orientato alla catena di valore aggiunto",'Dropdown input'!$C$18,IF('Panoramica SP'!$B$3="intersettoriale",'Dropdown input'!$D$18,IF($B$3="selezionare",""))),IF(E34="",""))))))))))))</f>
        <v/>
      </c>
      <c r="I34" s="178" t="str">
        <f t="shared" si="1"/>
        <v/>
      </c>
      <c r="J34" s="703" t="str">
        <f t="shared" si="6"/>
        <v/>
      </c>
      <c r="K34" s="705" t="str">
        <f>IF(E34=1,'Dropdown input'!$I$8,IF(E34=2,'Dropdown input'!$I$9,IF(E34=3,'Dropdown input'!$I$10,IF(E34=4,'Dropdown input'!$I$11,IF(E34=5,'Dropdown input'!$I$12,IF(E34=6,'Dropdown input'!$I$13,IF(E34=7,'Dropdown input'!$I$14,IF(E34=8,'Dropdown input'!$I$15,IF(E34=9,"chiarire nello specifico con l'UFAG",IF(E34=10,'Dropdown input'!$I$17,IF(E34=11,'Dropdown input'!$I$18,"")))))))))))</f>
        <v/>
      </c>
      <c r="L34" s="616" t="str">
        <f t="shared" si="2"/>
        <v/>
      </c>
      <c r="M34" s="708" t="str">
        <f>IF(E34=1,IF($B$3="orientato alla catena di valore aggiunto",'Dropdown input'!$E$8,IF($B$3="intersettoriale",'Dropdown input'!$F$8,IF($B$3="selezionare",""))),IF(E34=2,IF($B$3="orientato alla catena di valore aggiunto",'Dropdown input'!$E$9,IF($B$3="intersettoriale",'Dropdown input'!$F$9,IF($B$3="selezionare",""))),IF(E34=3,IF($B$3="orientato alla catena di valore aggiunto",'Dropdown input'!$E$10,IF($B$3="intersettoriale",'Dropdown input'!$F$10,IF($B$3="selezionare",""))),IF(E34=4,IF($B$3="orientato alla catena di valore aggiunto",'Dropdown input'!$E$11,IF($B$3="intersettoriale",'Dropdown input'!$F$11,IF($B$3="selezionare",""))),IF(E34=5,IF($B$3="orientato alla catena di valore aggiunto",'Dropdown input'!$E$12,IF($B$3="intersettoriale",'Dropdown input'!$F$12,IF($B$3="selezionare",""))),IF(E34=6,IF($B$3="orientato alla catena di valore aggiunto",'Dropdown input'!$E$13,IF($B$3="intersettoriale",'Dropdown input'!$F$13,IF($B$3="selezionare",""))),IF(E34=7,IF($B$3="orientato alla catena di valore aggiunto",'Dropdown input'!$E$14,IF($B$3="intersettoriale",'Dropdown input'!$F$14,IF($B$3="selezionare",""))),IF(E34=8,IF($B$3="orientato alla catena di valore aggiunto",'Dropdown input'!$E$15,IF($B$3="intersettoriale",'Dropdown input'!$F$15,IF($B$3="selezionare",""))),IF(E34=9,IF($B$3="orientato alla catena di valore aggiunto",'Dropdown input'!$E$16,IF($B$3="intersettoriale",'Dropdown input'!$F$16,IF($B$3="selezionare",""))),IF(E34=10,IF($B$3="orientato alla catena di valore aggiunto",'Dropdown input'!$E$17,IF($B$3="intersettoriale",'Dropdown input'!$F$17,IF($B$3="selezionare",""))),IF(E34=11,IF($B$3="orientato alla catena di valore aggiunto",'Dropdown input'!$E$18,IF($B$3="intersettoriale",'Dropdown input'!$F$18,IF($B$3="selezionare",""))),IF(E34="",""))))))))))))</f>
        <v/>
      </c>
      <c r="N34" s="179" t="str">
        <f t="shared" si="7"/>
        <v/>
      </c>
      <c r="O34" s="737" t="str">
        <f t="shared" si="8"/>
        <v/>
      </c>
      <c r="P34" s="734"/>
      <c r="Q34" s="629" t="str">
        <f t="shared" si="9"/>
        <v/>
      </c>
      <c r="R34" s="792" t="str">
        <f t="shared" si="10"/>
        <v/>
      </c>
      <c r="S34" s="180" t="str">
        <f t="shared" si="11"/>
        <v/>
      </c>
      <c r="T34" s="640">
        <f t="shared" si="12"/>
        <v>0</v>
      </c>
      <c r="U34" s="181" t="str">
        <f t="shared" si="3"/>
        <v/>
      </c>
      <c r="V34" s="640">
        <f t="shared" si="4"/>
        <v>0</v>
      </c>
      <c r="W34" s="182"/>
      <c r="X34" s="177"/>
      <c r="Y34" s="182"/>
      <c r="Z34" s="177"/>
      <c r="AA34" s="182"/>
      <c r="AB34" s="182"/>
    </row>
    <row r="35" spans="1:35" ht="16.5" outlineLevel="1" thickBot="1" x14ac:dyDescent="0.25">
      <c r="A35" s="184" t="s">
        <v>30</v>
      </c>
      <c r="B35" s="184"/>
      <c r="C35" s="184"/>
      <c r="D35" s="184"/>
      <c r="E35" s="184"/>
      <c r="F35" s="184"/>
      <c r="G35" s="185"/>
      <c r="H35" s="184"/>
      <c r="I35" s="184"/>
      <c r="J35" s="184"/>
      <c r="K35" s="184"/>
      <c r="L35" s="628">
        <f>SUM(L26:L34)</f>
        <v>0</v>
      </c>
      <c r="M35" s="184"/>
      <c r="N35" s="184"/>
      <c r="O35" s="186">
        <f>SUM(O26:O34)</f>
        <v>0</v>
      </c>
      <c r="P35" s="622">
        <f>SUM(P26:P34)</f>
        <v>0</v>
      </c>
      <c r="Q35" s="630"/>
      <c r="R35" s="188"/>
      <c r="S35" s="188">
        <f>SUM(S26:S34)</f>
        <v>0</v>
      </c>
      <c r="T35" s="767">
        <f>SUM(T26:T34)</f>
        <v>0</v>
      </c>
      <c r="U35" s="187" t="str">
        <f t="shared" si="3"/>
        <v/>
      </c>
      <c r="V35" s="768">
        <f t="shared" ref="V35" si="13">SUM(V26:V33)</f>
        <v>0</v>
      </c>
      <c r="W35" s="185"/>
      <c r="X35" s="185"/>
      <c r="Y35" s="185"/>
      <c r="Z35" s="185"/>
      <c r="AA35" s="185"/>
      <c r="AB35" s="185"/>
    </row>
    <row r="36" spans="1:35" s="8" customFormat="1" ht="28.5" customHeight="1" thickTop="1" x14ac:dyDescent="0.2">
      <c r="A36" s="189"/>
      <c r="B36" s="190"/>
      <c r="C36" s="191"/>
      <c r="D36" s="191"/>
      <c r="E36" s="191"/>
      <c r="F36" s="191"/>
      <c r="G36" s="192"/>
      <c r="H36" s="192"/>
      <c r="I36" s="191"/>
      <c r="J36" s="192"/>
      <c r="L36" s="7"/>
      <c r="S36" s="7"/>
      <c r="Y36" s="193"/>
      <c r="AF36" s="7"/>
      <c r="AG36" s="7"/>
      <c r="AH36" s="7"/>
      <c r="AI36" s="7"/>
    </row>
    <row r="37" spans="1:35" s="570" customFormat="1" ht="18" x14ac:dyDescent="0.2">
      <c r="A37" s="567" t="s">
        <v>373</v>
      </c>
      <c r="B37" s="568"/>
      <c r="C37" s="568"/>
      <c r="D37" s="568"/>
      <c r="E37" s="568"/>
      <c r="F37" s="568"/>
      <c r="G37" s="568"/>
      <c r="H37" s="568"/>
      <c r="I37" s="568"/>
      <c r="J37" s="567"/>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9"/>
      <c r="AH37" s="569"/>
    </row>
    <row r="38" spans="1:35" s="95" customFormat="1" ht="48.6" customHeight="1" x14ac:dyDescent="0.2">
      <c r="A38" s="798" t="s">
        <v>385</v>
      </c>
      <c r="B38" s="798"/>
      <c r="C38" s="798"/>
      <c r="D38" s="798"/>
      <c r="E38" s="798"/>
      <c r="F38" s="798"/>
      <c r="G38" s="798"/>
      <c r="H38" s="798"/>
      <c r="I38" s="798"/>
      <c r="J38" s="758"/>
      <c r="K38" s="758"/>
      <c r="L38" s="758"/>
      <c r="M38" s="758"/>
      <c r="N38" s="758"/>
      <c r="O38" s="758"/>
      <c r="P38" s="758"/>
      <c r="Q38" s="758"/>
      <c r="R38" s="114"/>
      <c r="S38" s="114"/>
      <c r="T38" s="114"/>
      <c r="U38" s="114"/>
      <c r="V38" s="114"/>
      <c r="W38" s="114"/>
      <c r="X38" s="114"/>
      <c r="Y38" s="114"/>
      <c r="Z38" s="114"/>
      <c r="AA38" s="114"/>
      <c r="AB38" s="114"/>
      <c r="AC38" s="115"/>
    </row>
    <row r="39" spans="1:35" x14ac:dyDescent="0.2">
      <c r="Y39" s="7"/>
      <c r="Z39" s="103"/>
    </row>
    <row r="40" spans="1:35" x14ac:dyDescent="0.2">
      <c r="A40" s="673" t="s">
        <v>337</v>
      </c>
      <c r="B40" s="674">
        <v>500000</v>
      </c>
      <c r="Y40" s="7"/>
      <c r="Z40" s="103"/>
    </row>
    <row r="41" spans="1:35" x14ac:dyDescent="0.2">
      <c r="A41" s="122" t="s">
        <v>45</v>
      </c>
      <c r="B41" s="674">
        <v>10000</v>
      </c>
      <c r="Y41" s="7"/>
      <c r="Z41" s="103"/>
    </row>
    <row r="42" spans="1:35" x14ac:dyDescent="0.2">
      <c r="U42" s="103"/>
      <c r="Y42" s="7"/>
    </row>
    <row r="43" spans="1:35" s="103" customFormat="1" ht="94.5" customHeight="1" outlineLevel="1" x14ac:dyDescent="0.2">
      <c r="A43" s="634" t="s">
        <v>336</v>
      </c>
      <c r="B43" s="634" t="s">
        <v>330</v>
      </c>
      <c r="C43" s="123" t="s">
        <v>46</v>
      </c>
      <c r="D43" s="124" t="s">
        <v>47</v>
      </c>
      <c r="E43" s="123" t="s">
        <v>48</v>
      </c>
      <c r="F43" s="644" t="s">
        <v>301</v>
      </c>
      <c r="G43" s="131" t="s">
        <v>276</v>
      </c>
      <c r="H43" s="134" t="s">
        <v>308</v>
      </c>
      <c r="I43" s="132" t="s">
        <v>245</v>
      </c>
      <c r="J43" s="625" t="s">
        <v>52</v>
      </c>
      <c r="K43" s="123" t="s">
        <v>315</v>
      </c>
      <c r="L43" s="645" t="s">
        <v>49</v>
      </c>
      <c r="M43" s="646" t="s">
        <v>50</v>
      </c>
      <c r="N43" s="647" t="s">
        <v>51</v>
      </c>
      <c r="O43" s="647" t="s">
        <v>53</v>
      </c>
      <c r="P43" s="122" t="s">
        <v>277</v>
      </c>
      <c r="Q43" s="648" t="s">
        <v>54</v>
      </c>
      <c r="V43" s="7"/>
      <c r="AC43" s="632" t="s">
        <v>329</v>
      </c>
      <c r="AD43" s="632" t="s">
        <v>38</v>
      </c>
      <c r="AE43" s="633" t="s">
        <v>39</v>
      </c>
      <c r="AF43" s="635" t="s">
        <v>331</v>
      </c>
    </row>
    <row r="44" spans="1:35" ht="110.25" outlineLevel="1" x14ac:dyDescent="0.2">
      <c r="A44" s="670" t="s">
        <v>333</v>
      </c>
      <c r="B44" s="649">
        <v>0.3</v>
      </c>
      <c r="C44" s="142">
        <f>IF($B$44&lt;0.8,($B$40-B41)*B44,$B$40-B41)</f>
        <v>147000</v>
      </c>
      <c r="D44" s="143">
        <f>IF($B$44&lt;0.2,0.33,0)</f>
        <v>0</v>
      </c>
      <c r="E44" s="142">
        <f>IF(D44=0,C44,(1-D44)*C44)</f>
        <v>147000</v>
      </c>
      <c r="F44" s="656">
        <f>IF(AE44=1,(IF(AC44="Pianura",34%,IF(AC44="ZC / ZM I",37%,IF(AC44="ZM II - IV, regione d'estivazione",40%,)))),IF(AE44=2,(IF(AC44="Pianura",34%,IF(AC44="ZC / ZM I",37%,IF(AC44="ZM II - IV, regione d'estivazione",40%,)))),IF(AE44=3,IF(AF44="costruzioni",22%,IF(AC44="Pianura",34%,IF(AC44="ZC / ZM I",37%,IF(AC44="ZM II - IV, regione d'estivazione",40%,)))),IF(AE44=4,37%,IF(AE44=5,34%,IF(AE44=6,(IF(AC44="Pianura",34%,IF(AC44="ZC / ZM I",37%,IF(AC44="ZM II - IV, regione d'estivazione",40%,)))),IF(AE44=7,"N/A",IF(AE44=8,"N/A",IF(AE44=9,"chiarire nello specifico con l'UFAG",IF(AE44=10,"N/A",IF(AE44="","")))))))))))</f>
        <v>0.22</v>
      </c>
      <c r="G44" s="144" t="str">
        <f>IF(AE44=1,IF($B$3="orientato alla catena di valore aggiunto",'Dropdown input'!$E$8,IF($B$3="intersettoriale",'Dropdown input'!$F$8,IF($B$3="selezionare",""))),IF(AE44=2,IF($B$3="orientato alla catena di valore aggiunto",'Dropdown input'!$E$9,IF($B$3="intersettoriale",'Dropdown input'!$F$9,IF($B$3="selezionare",""))),IF(AE44=4,IF($B$3="orientato alla catena di valore aggiunto",'Dropdown input'!$E$11,IF($B$3="intersettoriale",'Dropdown input'!$F$11,IF($B$3="selezionare",""))),IF(AE44=5,IF($B$3="orientato alla catena di valore aggiunto",'Dropdown input'!$E$12,IF($B$3="intersettoriale",'Dropdown input'!$F$12,IF($B$3="selezionare",""))),IF(AE44=6,IF($B$3="orientato alla catena di valore aggiunto",'Dropdown input'!$E$13,IF($B$3="intersettoriale",'Dropdown input'!$F$13,IF($B$3="selezionare",""))),IF(AE44=7,IF($B$3="orientato alla catena di valore aggiunto",'Dropdown input'!$E$14,IF($B$3="intersettoriale",'Dropdown input'!$F$14,IF($B$3="selezionare",""))),IF(AE44=8,IF($B$3="orientato alla catena di valore aggiunto",'Dropdown input'!$E$15,IF($B$3="intersettoriale",'Dropdown input'!$F$15,IF($B$3="selezionare",""))),IF(AE44=9,IF($B$3="orientato alla catena di valore aggiunto",'Dropdown input'!$E$16,IF($B$3="intersettoriale",'Dropdown input'!$F$16,IF($B$3="selezionare",""))),IF(AE44=10,IF($B$3="orientato alla catena di valore aggiunto",'Dropdown input'!$E$17,IF($B$3="intersettoriale",'Dropdown input'!$F$17,IF($B$3="selezionare",""))),IF(AE44="","",IF(AE44=3,IF(AF44="costruzioni",IF($B$3="orientato alla catena di valore aggiunto",'Dropdown input'!$E$10,IF($B$3="intersettoriale",'Dropdown input'!$F$10,IF($B$3="selezionare","selezionare tipo PSR"))),IF(AE44=3,IF(AF44="PSR",IF($B$3="orientato alla catena di valore aggiunto",'Dropdown input'!$E$11,IF($B$3="intersettoriale",'Dropdown input'!$F$11,IF($B$3="selezionare","selezionare tipo PSR")))))))))))))))))</f>
        <v>selezionare tipo PSR</v>
      </c>
      <c r="H44" s="145" t="str">
        <f>IFERROR(F44+F44*G44,"")</f>
        <v/>
      </c>
      <c r="I44" s="623">
        <f>IF(AE44=1,'Dropdown input'!$I$8,IF(AE44=2,'Dropdown input'!$I$9,IF(AF44="costruzioni",'Dropdown input'!$I$10,IF(AF44="PSR",'Dropdown input'!$I$11,IF(AE44=4,'Dropdown input'!$I$11,IF(AE44=5,'Dropdown input'!$I$12,IF(AE44=6,'Dropdown input'!$I$13,IF(AE44=7,'Dropdown input'!$I$14,IF(AE44=8,'Dropdown input'!$I$15,IF(AE44=9,"chiarire nello specifico con l'UFAG",IF(AE44=10,'Dropdown input'!$I$17,"")))))))))))</f>
        <v>0.9</v>
      </c>
      <c r="J44" s="615" t="e">
        <f>E44*H44*I44</f>
        <v>#VALUE!</v>
      </c>
      <c r="K44" s="620"/>
      <c r="L44" s="618" t="str">
        <f>IFERROR((K44+J44)/E44,"")</f>
        <v/>
      </c>
      <c r="M44" s="146" t="str">
        <f>IFERROR(IF(L44&lt;I44*H44,L44/I44,H44),"")</f>
        <v/>
      </c>
      <c r="N44" s="147" t="str">
        <f>IFERROR(M44*E44,"")</f>
        <v/>
      </c>
      <c r="O44" s="613" t="str">
        <f>IFERROR(J44+N44+K44,"")</f>
        <v/>
      </c>
      <c r="P44" s="148" t="str">
        <f>IFERROR(O44/$B$40,"")</f>
        <v/>
      </c>
      <c r="Q44" s="150"/>
      <c r="Y44" s="7"/>
      <c r="AC44" s="756" t="s">
        <v>327</v>
      </c>
      <c r="AD44" s="140" t="s">
        <v>325</v>
      </c>
      <c r="AE44" s="626">
        <f>IF(AD44="Investimenti collettivi nell'interesse del progetto globale",1,IF(AD44="Sviluppo di un ramo aziendale nell'azienda agricola",2,IF(AD44="ZM: trasformazione, stoccaggio e commercializzazione in comune di prodotti agricoli regionali",3,IF(AD44="ZC: trasformazione, stoccaggio e commercializzazione in comune di prodotti agricoli regionali",4,IF(AD44="Regione di pianura: trasformazione, stoccaggio e commercializzazione  in comune di prodotti agricoli regionali",5,IF(AD44="Altre misure nell'interesse del progetto globale (riduzione min. 50%)",6,IF(AD44="Edifici alpestre",7,IF(AD44="Stalle individuali per animali che consumano foraggio grezzo",8,IF(AD44="Provvedimenti di migliorie fondiarie",9,IF(AD44="Provvedimenti individuali obiettivi ecologici",10,IF(AD44="…selezionare misura","")))))))))))</f>
        <v>3</v>
      </c>
      <c r="AF44" s="626" t="str">
        <f>IF(AE44&lt;3,"",IF(AE44&gt;3,"",IF(B44&gt;19%,"costruzioni","PSR")))</f>
        <v>costruzioni</v>
      </c>
    </row>
    <row r="45" spans="1:35" ht="110.25" outlineLevel="1" x14ac:dyDescent="0.2">
      <c r="A45" s="671" t="s">
        <v>334</v>
      </c>
      <c r="B45" s="650">
        <v>0.3</v>
      </c>
      <c r="C45" s="156">
        <f>IF($B$44&lt;0.8,($B$40-B41)*B45,0)</f>
        <v>147000</v>
      </c>
      <c r="D45" s="143">
        <f>IF($B$44&gt;0.79,1,IF(B45=0,1,0.33))</f>
        <v>0.33</v>
      </c>
      <c r="E45" s="142">
        <f>IF(D45=0,C45,(1-D45)*C45)</f>
        <v>98489.999999999985</v>
      </c>
      <c r="F45" s="657">
        <f>IF(AE45=1,(IF(AC45="Pianura",34%,IF(AC45="ZC / ZM I",37%,IF(AC45="ZM II - IV, regione d'estivazione",40%,)))),IF(AE45=2,(IF(AC45="Pianura",34%,IF(AC45="ZC / ZM I",37%,IF(AC45="ZM II - IV, regione d'estivazione",40%,)))),IF(AE45=3,IF(AF45="costruzioni",22%,IF(AC45="Pianura",34%,IF(AC45="ZC / ZM I",37%,IF(AC45="ZM II - IV, regione d'estivazione",40%,)))),IF(AE45=4,37%,IF(AE45=5,34%,IF(AE45=6,(IF(AC45="Pianura",34%,IF(AC45="ZC / ZM I",37%,IF(AC45="ZM II - IV, regione d'estivazione",40%,)))),IF(AE45=7,"N/A",IF(AE45=8,"N/A",IF(AE45=9,"chiarire nello specifico con l'UFAG",IF(AE45=10,"N/A",IF(AE45="","")))))))))))</f>
        <v>0.37</v>
      </c>
      <c r="G45" s="144" t="str">
        <f>IF(AE45=1,IF($B$3="orientato alla catena di valore aggiunto",'Dropdown input'!$E$8,IF($B$3="intersettoriale",'Dropdown input'!$F$8,IF($B$3="selezionare",""))),IF(AE45=2,IF($B$3="orientato alla catena di valore aggiunto",'Dropdown input'!$E$9,IF($B$3="intersettoriale",'Dropdown input'!$F$9,IF($B$3="selezionare",""))),IF(AE45=4,IF($B$3="orientato alla catena di valore aggiunto",'Dropdown input'!$E$11,IF($B$3="intersettoriale",'Dropdown input'!$F$11,IF($B$3="selezionare",""))),IF(AE45=5,IF($B$3="orientato alla catena di valore aggiunto",'Dropdown input'!$E$12,IF($B$3="intersettoriale",'Dropdown input'!$F$12,IF($B$3="selezionare",""))),IF(AE45=6,IF($B$3="orientato alla catena di valore aggiunto",'Dropdown input'!$E$13,IF($B$3="intersettoriale",'Dropdown input'!$F$13,IF($B$3="selezionare",""))),IF(AE45=7,IF($B$3="orientato alla catena di valore aggiunto",'Dropdown input'!$E$14,IF($B$3="intersettoriale",'Dropdown input'!$F$14,IF($B$3="selezionare",""))),IF(AE45=8,IF($B$3="orientato alla catena di valore aggiunto",'Dropdown input'!$E$15,IF($B$3="intersettoriale",'Dropdown input'!$F$15,IF($B$3="selezionare",""))),IF(AE45=9,IF($B$3="orientato alla catena di valore aggiunto",'Dropdown input'!$E$16,IF($B$3="intersettoriale",'Dropdown input'!$F$16,IF($B$3="selezionare",""))),IF(AE45=10,IF($B$3="orientato alla catena di valore aggiunto",'Dropdown input'!$E$17,IF($B$3="intersettoriale",'Dropdown input'!$F$17,IF($B$3="selezionare",""))),IF(AE45="","",IF(AE45=3,IF(AF45="costruzioni",IF($B$3="orientato alla catena di valore aggiunto",'Dropdown input'!$E$10,IF($B$3="intersettoriale",'Dropdown input'!$F$10,IF($B$3="selezionare","selezionare tipo PSR"))),IF(AE45=3,IF(AF45="PSR",IF($B$3="orientato alla catena di valore aggiunto",'Dropdown input'!$E$11,IF($B$3="intersettoriale",'Dropdown input'!$F$11,IF($B$3="selezionare","selezionare tipo PSR")))))))))))))))))</f>
        <v>selezionare tipo PSR</v>
      </c>
      <c r="H45" s="145" t="str">
        <f>IFERROR(F45+F45*G45,"")</f>
        <v/>
      </c>
      <c r="I45" s="623">
        <f>IF(AE45=1,'Dropdown input'!$I$8,IF(AE45=2,'Dropdown input'!$I$9,IF(AF45="costruzioni",'Dropdown input'!$I$10,IF(AF45="PSR",'Dropdown input'!$I$11,IF(AE45=4,'Dropdown input'!$I$11,IF(AE45=5,'Dropdown input'!$I$12,IF(AE45=6,'Dropdown input'!$I$13,IF(AE45=7,'Dropdown input'!$I$14,IF(AE45=8,'Dropdown input'!$I$15,IF(AE45=9,"chiarire nello specifico con l'UFAG",IF(AE45=10,'Dropdown input'!$I$17,"")))))))))))</f>
        <v>0.8</v>
      </c>
      <c r="J45" s="616" t="e">
        <f>E45*H45*I45</f>
        <v>#VALUE!</v>
      </c>
      <c r="K45" s="621"/>
      <c r="L45" s="619" t="str">
        <f>IFERROR((K45+J45)/E45,"")</f>
        <v/>
      </c>
      <c r="M45" s="157" t="str">
        <f>IFERROR(IF(L45&lt;I45*H45,L45/I45,H45),"")</f>
        <v/>
      </c>
      <c r="N45" s="158" t="str">
        <f>IFERROR(M45*E45,"")</f>
        <v/>
      </c>
      <c r="O45" s="614" t="str">
        <f>IFERROR(J45+N45+K45,"")</f>
        <v/>
      </c>
      <c r="P45" s="148" t="str">
        <f>IFERROR(O45/$B$40,"")</f>
        <v/>
      </c>
      <c r="Q45" s="160"/>
      <c r="Y45" s="7"/>
      <c r="AC45" s="154" t="s">
        <v>210</v>
      </c>
      <c r="AD45" s="154" t="s">
        <v>325</v>
      </c>
      <c r="AE45" s="627">
        <f>IF(AD45="Investimenti collettivi nell'interesse del progetto globale",1,IF(AD45="Sviluppo di un ramo aziendale nell'azienda agricola",2,IF(AD45="ZM: trasformazione, stoccaggio e commercializzazione in comune di prodotti agricoli regionali",3,IF(AD45="ZC: trasformazione, stoccaggio e commercializzazione in comune di prodotti agricoli regionali",4,IF(AD45="Regione di pianura: trasformazione, stoccaggio e commercializzazione  in comune di prodotti agricoli regionali",5,IF(AD45="Altre misure nell'interesse del progetto globale (riduzione min. 50%)",6,IF(AD45="Edifici alpestre",7,IF(AD45="Stalle individuali per animali che consumano foraggio grezzo",8,IF(AD45="Provvedimenti di migliorie fondiarie",9,IF(AD45="Provvedimenti individuali obiettivi ecologici",10,IF(AD45="…selezionare misura","")))))))))))</f>
        <v>3</v>
      </c>
      <c r="AF45" s="627" t="str">
        <f>IF(AE45&lt;3,"",IF(AE45&gt;3,"",IF(AE45=3,IF(100%-$B$44&lt;=19%,"costruzioni","PSR"))))</f>
        <v>PSR</v>
      </c>
    </row>
    <row r="46" spans="1:35" ht="110.25" outlineLevel="1" x14ac:dyDescent="0.2">
      <c r="A46" s="672" t="s">
        <v>290</v>
      </c>
      <c r="B46" s="651">
        <v>0.4</v>
      </c>
      <c r="C46" s="166">
        <f>IF($B$44&lt;0.8,($B$40-B41)*B46,0)</f>
        <v>196000</v>
      </c>
      <c r="D46" s="143">
        <f>IF($B$44&gt;0.79,1,IF(B46=0,1,0.33))</f>
        <v>0.33</v>
      </c>
      <c r="E46" s="654">
        <f>IF(D46=0,C46,(1-D46)*C46)</f>
        <v>131320</v>
      </c>
      <c r="F46" s="631">
        <f>IF(AE46=1,(IF(AC46="Pianura",34%,IF(AC46="ZC / ZM I",37%,IF(AC46="ZM II - IV, regione d'estivazione",40%,)))),IF(AE46=2,(IF(AC46="Pianura",34%,IF(AC46="ZC / ZM I",37%,IF(AC46="ZM II - IV, regione d'estivazione",40%,)))),IF(AE46=3,IF(AF46="costruzioni",22%,IF(AC46="Pianura",34%,IF(AC46="ZC / ZM I",37%,IF(AC46="ZM II - IV, regione d'estivazione",40%,)))),IF(AE46=4,37%,IF(AE46=5,34%,IF(AE46=6,(IF(AC46="Pianura",34%,IF(AC46="ZC / ZM I",37%,IF(AC46="ZM II - IV, regione d'estivazione",40%,)))),IF(AE46=7,"N/A",IF(AE46=8,"N/A",IF(AE46=9,"chiarire nello specifico con l'UFAG",IF(AE46=10,"N/A",IF(AE46="","")))))))))))</f>
        <v>0.34</v>
      </c>
      <c r="G46" s="144" t="str">
        <f>IF(AE46=1,IF($B$3="orientato alla catena di valore aggiunto",'Dropdown input'!$E$8,IF($B$3="intersettoriale",'Dropdown input'!$F$8,IF($B$3="selezionare",""))),IF(AE46=2,IF($B$3="orientato alla catena di valore aggiunto",'Dropdown input'!$E$9,IF($B$3="intersettoriale",'Dropdown input'!$F$9,IF($B$3="selezionare",""))),IF(AE46=4,IF($B$3="orientato alla catena di valore aggiunto",'Dropdown input'!$E$11,IF($B$3="intersettoriale",'Dropdown input'!$F$11,IF($B$3="selezionare",""))),IF(AE46=5,IF($B$3="orientato alla catena di valore aggiunto",'Dropdown input'!$E$12,IF($B$3="intersettoriale",'Dropdown input'!$F$12,IF($B$3="selezionare",""))),IF(AE46=6,IF($B$3="orientato alla catena di valore aggiunto",'Dropdown input'!$E$13,IF($B$3="intersettoriale",'Dropdown input'!$F$13,IF($B$3="selezionare",""))),IF(AE46=7,IF($B$3="orientato alla catena di valore aggiunto",'Dropdown input'!$E$14,IF($B$3="intersettoriale",'Dropdown input'!$F$14,IF($B$3="selezionare",""))),IF(AE46=8,IF($B$3="orientato alla catena di valore aggiunto",'Dropdown input'!$E$15,IF($B$3="intersettoriale",'Dropdown input'!$F$15,IF($B$3="selezionare",""))),IF(AE46=9,IF($B$3="orientato alla catena di valore aggiunto",'Dropdown input'!$E$16,IF($B$3="intersettoriale",'Dropdown input'!$F$16,IF($B$3="selezionare",""))),IF(AE46=10,IF($B$3="orientato alla catena di valore aggiunto",'Dropdown input'!$E$17,IF($B$3="intersettoriale",'Dropdown input'!$F$17,IF($B$3="selezionare",""))),IF(AE46="","",IF(AE46=3,IF(AF46="costruzioni",IF($B$3="orientato alla catena di valore aggiunto",'Dropdown input'!$E$10,IF($B$3="intersettoriale",'Dropdown input'!$F$10,IF($B$3="selezionare","selezionare tipo PSR"))),IF(AE46=3,IF(AF46="PSR",IF($B$3="orientato alla catena di valore aggiunto",'Dropdown input'!$E$11,IF($B$3="intersettoriale",'Dropdown input'!$F$11,IF($B$3="selezionare","selezionare tipo PSR")))))))))))))))))</f>
        <v>selezionare tipo PSR</v>
      </c>
      <c r="H46" s="638" t="str">
        <f>IFERROR(F46+F46*G46,"")</f>
        <v/>
      </c>
      <c r="I46" s="623">
        <f>IF(AE46=1,'Dropdown input'!$I$8,IF(AE46=2,'Dropdown input'!$I$9,IF(AF46="costruzioni",'Dropdown input'!$I$10,IF(AF46="PSR",'Dropdown input'!$I$11,IF(AE46=4,'Dropdown input'!$I$11,IF(AE46=5,'Dropdown input'!$I$12,IF(AE46=6,'Dropdown input'!$I$13,IF(AE46=7,'Dropdown input'!$I$14,IF(AE46=8,'Dropdown input'!$I$15,IF(AE46=9,"chiarire nello specifico con l'UFAG",IF(AE46=10,'Dropdown input'!$I$17,"")))))))))))</f>
        <v>0.8</v>
      </c>
      <c r="J46" s="637" t="e">
        <f>E46*H46*I46</f>
        <v>#VALUE!</v>
      </c>
      <c r="K46" s="639"/>
      <c r="L46" s="629" t="str">
        <f>IFERROR((K46+J46)/E46,"")</f>
        <v/>
      </c>
      <c r="M46" s="167" t="str">
        <f>IFERROR(IF(L46&lt;I46*H46,L46/I46,H46),"")</f>
        <v/>
      </c>
      <c r="N46" s="168" t="str">
        <f>IFERROR(M46*E46,"")</f>
        <v/>
      </c>
      <c r="O46" s="640" t="str">
        <f>IFERROR(J46+N46+K46,"")</f>
        <v/>
      </c>
      <c r="P46" s="169" t="str">
        <f>IFERROR(O46/$B$40,"")</f>
        <v/>
      </c>
      <c r="Q46" s="171"/>
      <c r="Y46" s="7"/>
      <c r="AC46" s="164" t="s">
        <v>290</v>
      </c>
      <c r="AD46" s="164" t="s">
        <v>325</v>
      </c>
      <c r="AE46" s="636">
        <f>IF(AD46="Investimenti collettivi nell'interesse del progetto globale",1,IF(AD46="Sviluppo di un ramo aziendale nell'azienda agricola",2,IF(AD46="ZM: trasformazione, stoccaggio e commercializzazione in comune di prodotti agricoli regionali",3,IF(AD46="ZC: trasformazione, stoccaggio e commercializzazione in comune di prodotti agricoli regionali",4,IF(AD46="Regione di pianura: trasformazione, stoccaggio e commercializzazione  in comune di prodotti agricoli regionali",5,IF(AD46="Altre misure nell'interesse del progetto globale (riduzione min. 50%)",6,IF(AD46="Edifici alpestre",7,IF(AD46="Stalle individuali per animali che consumano foraggio grezzo",8,IF(AD46="Provvedimenti di migliorie fondiarie",9,IF(AD46="Provvedimenti individuali obiettivi ecologici",10,IF(AD46="…selezionare misura","")))))))))))</f>
        <v>3</v>
      </c>
      <c r="AF46" s="627" t="str">
        <f>IF(AE46&lt;3,"",IF(AE46&gt;3,"",IF(AE46=3,IF(100%-$B$44&lt;=19%,"costruzioni","PSR"))))</f>
        <v>PSR</v>
      </c>
    </row>
    <row r="47" spans="1:35" ht="111" outlineLevel="1" thickBot="1" x14ac:dyDescent="0.25">
      <c r="A47" s="669"/>
      <c r="B47" s="675">
        <f>IF(SUM(B44:B46)=1,SUM(B44:B46),"La somma deve essere 100%!")</f>
        <v>1</v>
      </c>
      <c r="C47" s="655">
        <f>B40-B41</f>
        <v>490000</v>
      </c>
      <c r="D47" s="653">
        <f>IF($B$44&gt;0.79,0,(B44*D44+B45*D45+B46*D46))</f>
        <v>0.23100000000000001</v>
      </c>
      <c r="E47" s="655">
        <f>C47*(1-D47)</f>
        <v>376810</v>
      </c>
      <c r="F47" s="658">
        <f>IF(E45&gt;0,(($E$44/$E$47)*F44+($E$45/$E$47)*F45+($E$46/$E$47)*F46),F44)</f>
        <v>0.30102730819245771</v>
      </c>
      <c r="G47" s="659" t="e">
        <f>(H47-F47)/F47</f>
        <v>#VALUE!</v>
      </c>
      <c r="H47" s="660" t="e">
        <f>($E$44/$E$47)*H44+($E$45/$E$47)*H45+($E$46/$E$47)*H46</f>
        <v>#VALUE!</v>
      </c>
      <c r="I47" s="660" t="e">
        <f>J47/(E47*H47)</f>
        <v>#VALUE!</v>
      </c>
      <c r="J47" s="661" t="e">
        <f>SUM(J44:J46)</f>
        <v>#VALUE!</v>
      </c>
      <c r="K47" s="662">
        <f>SUM(K44:K46)</f>
        <v>0</v>
      </c>
      <c r="L47" s="663" t="str">
        <f>IFERROR((K47+J47)/E47,"")</f>
        <v/>
      </c>
      <c r="M47" s="664" t="str">
        <f>IFERROR(IF(L47&lt;I47*H47,L47/I47,H47),"")</f>
        <v/>
      </c>
      <c r="N47" s="665" t="str">
        <f>IFERROR(M47*E47,"")</f>
        <v/>
      </c>
      <c r="O47" s="666">
        <f>SUM(O44:O46)</f>
        <v>0</v>
      </c>
      <c r="P47" s="667">
        <f>IFERROR(O47/B40,"")</f>
        <v>0</v>
      </c>
      <c r="Q47" s="668">
        <f>B40-O47</f>
        <v>500000</v>
      </c>
      <c r="Y47" s="7"/>
      <c r="AC47" s="757"/>
      <c r="AD47" s="652" t="s">
        <v>325</v>
      </c>
      <c r="AE47" s="642">
        <f>IF(AD47="Investimenti collettivi nell'interesse del progetto globale",1,IF(AD47="Sviluppo di un ramo aziendale nell'azienda agricola",2,IF(AD47="ZM: trasformazione, stoccaggio e commercializzazione in comune di prodotti agricoli regionali",3,IF(AD47="ZC: trasformazione, stoccaggio e commercializzazione in comune di prodotti agricoli regionali",4,IF(AD47="Regione di pianura: trasformazione, stoccaggio e commercializzazione  in comune di prodotti agricoli regionali",5,IF(AD47="Altre misure nell'interesse del progetto globale (riduzione min. 50%)",6,IF(AD47="Edifici alpestre",7,IF(AD47="Stalle individuali per animali che consumano foraggio grezzo",8,IF(AD47="Provvedimenti di migliorie fondiarie",9,IF(AD47="Provvedimenti individuali obiettivi ecologici",10,IF(AD47="…selezionare misura","")))))))))))</f>
        <v>3</v>
      </c>
      <c r="AF47" s="643"/>
    </row>
    <row r="48" spans="1:35" s="8" customFormat="1" ht="16.5" thickTop="1" x14ac:dyDescent="0.2">
      <c r="A48" s="641"/>
      <c r="C48" s="192"/>
      <c r="D48" s="192"/>
      <c r="E48" s="192"/>
      <c r="F48" s="192"/>
      <c r="G48" s="192"/>
      <c r="H48" s="192"/>
      <c r="I48" s="192"/>
      <c r="J48" s="192"/>
      <c r="K48" s="192"/>
      <c r="L48" s="192"/>
      <c r="M48" s="192"/>
      <c r="T48" s="7"/>
      <c r="Z48" s="193"/>
      <c r="AC48" s="7"/>
    </row>
  </sheetData>
  <sheetProtection sheet="1" objects="1" scenarios="1"/>
  <mergeCells count="5">
    <mergeCell ref="A13:AD13"/>
    <mergeCell ref="A23:I23"/>
    <mergeCell ref="A38:I38"/>
    <mergeCell ref="A11:N11"/>
    <mergeCell ref="A12:N12"/>
  </mergeCells>
  <conditionalFormatting sqref="B3:B8">
    <cfRule type="cellIs" dxfId="61" priority="2" operator="equal">
      <formula>"selezionare"</formula>
    </cfRule>
    <cfRule type="cellIs" dxfId="60" priority="5" operator="equal">
      <formula>"auswählen"</formula>
    </cfRule>
  </conditionalFormatting>
  <conditionalFormatting sqref="B5">
    <cfRule type="cellIs" dxfId="59" priority="3" operator="equal">
      <formula>$G$6</formula>
    </cfRule>
    <cfRule type="cellIs" dxfId="58" priority="4" operator="equal">
      <formula>""""""</formula>
    </cfRule>
  </conditionalFormatting>
  <conditionalFormatting sqref="B47">
    <cfRule type="cellIs" dxfId="57" priority="1" operator="notEqual">
      <formula>1</formula>
    </cfRule>
  </conditionalFormatting>
  <dataValidations count="2">
    <dataValidation type="list" allowBlank="1" showInputMessage="1" showErrorMessage="1" sqref="B5">
      <formula1>INDIRECT(B4)</formula1>
    </dataValidation>
    <dataValidation type="list" allowBlank="1" showInputMessage="1" showErrorMessage="1" sqref="G68">
      <formula1>$B$29:$B$31</formula1>
    </dataValidation>
  </dataValidations>
  <pageMargins left="0.70866141732283472" right="0.70866141732283472" top="0.78740157480314965" bottom="0.78740157480314965" header="0.31496062992125984" footer="0.31496062992125984"/>
  <pageSetup paperSize="9" scale="27" fitToHeight="0" orientation="landscape" r:id="rId1"/>
  <ignoredErrors>
    <ignoredError sqref="B64:AA68 L35 L26:L34 E26:E34 P27:Q28 P30:Q32 P29:Q29 P26:Q26 P34:Q34 P33:Q33 W26:X26 W27:X28 W30:X32 W29:X29 W34:X34 W33:X33 U26 U27:U28 U30:U32 U29 U34 U33 S34 S29 S31:S32 S27:S28 R26:T26 R30:T30 R27:R28 T27:T28 R33:T33 R31:R32 T31:T32 R29 T29 R35:T35 R34 T34 O34 O30:O32 O27:O28 O26 O29 O33 O35" unlockedFormula="1"/>
  </ignoredErrors>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 input'!$B$27:$G$27</xm:f>
          </x14:formula1>
          <xm:sqref>B4</xm:sqref>
        </x14:dataValidation>
        <x14:dataValidation type="list" allowBlank="1" showInputMessage="1" showErrorMessage="1">
          <x14:formula1>
            <xm:f>'Dropdown input'!$B$37:$B$38</xm:f>
          </x14:formula1>
          <xm:sqref>B9</xm:sqref>
        </x14:dataValidation>
        <x14:dataValidation type="list" allowBlank="1" showInputMessage="1" showErrorMessage="1">
          <x14:formula1>
            <xm:f>'Dropdown input'!$B$42:$B$44</xm:f>
          </x14:formula1>
          <xm:sqref>B7</xm:sqref>
        </x14:dataValidation>
        <x14:dataValidation type="list" allowBlank="1" showInputMessage="1" showErrorMessage="1">
          <x14:formula1>
            <xm:f>'Dropdown input'!$D$42:$D$44</xm:f>
          </x14:formula1>
          <xm:sqref>B3</xm:sqref>
        </x14:dataValidation>
        <x14:dataValidation type="list" allowBlank="1" showInputMessage="1" showErrorMessage="1">
          <x14:formula1>
            <xm:f>'Dropdown input'!$B$22:$B$25</xm:f>
          </x14:formula1>
          <xm:sqref>C26:C34</xm:sqref>
        </x14:dataValidation>
        <x14:dataValidation type="list" allowBlank="1" showInputMessage="1" showErrorMessage="1">
          <x14:formula1>
            <xm:f>'Dropdown input'!$B$7:$B$18</xm:f>
          </x14:formula1>
          <xm:sqref>D26:D34</xm:sqref>
        </x14:dataValidation>
        <x14:dataValidation type="list" allowBlank="1" showInputMessage="1" showErrorMessage="1">
          <x14:formula1>
            <xm:f>'Dropdown input'!$B$37:$B$39</xm:f>
          </x14:formula1>
          <xm:sqref>B8</xm:sqref>
        </x14:dataValidation>
        <x14:dataValidation type="list" allowBlank="1" showInputMessage="1" showErrorMessage="1">
          <x14:formula1>
            <xm:f>'Dropdown input'!$D$37:$D$39</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O61"/>
  <sheetViews>
    <sheetView showGridLines="0" zoomScale="70" zoomScaleNormal="70" zoomScaleSheetLayoutView="55" workbookViewId="0">
      <selection activeCell="L23" sqref="L23"/>
    </sheetView>
  </sheetViews>
  <sheetFormatPr baseColWidth="10" defaultColWidth="10.625" defaultRowHeight="16.5" outlineLevelRow="1" outlineLevelCol="1" x14ac:dyDescent="0.3"/>
  <cols>
    <col min="1" max="1" width="59.5" style="2" customWidth="1"/>
    <col min="2" max="2" width="12.875" style="2" customWidth="1"/>
    <col min="3" max="4" width="12.625" style="2" customWidth="1"/>
    <col min="5" max="9" width="12.625" style="2" customWidth="1" outlineLevel="1"/>
    <col min="10" max="10" width="12.625" style="2" customWidth="1"/>
    <col min="11" max="11" width="13.125" style="2" customWidth="1"/>
    <col min="12" max="12" width="10.625" style="608" customWidth="1"/>
    <col min="13" max="13" width="9.875" style="2" customWidth="1"/>
    <col min="14" max="14" width="9.125" style="2" customWidth="1"/>
    <col min="15" max="15" width="7" style="2" customWidth="1"/>
    <col min="16" max="16" width="21.25" style="2" customWidth="1"/>
    <col min="17" max="17" width="6.125" style="2" customWidth="1"/>
    <col min="18" max="19" width="10.625" style="2" customWidth="1"/>
    <col min="20" max="16384" width="10.625" style="2"/>
  </cols>
  <sheetData>
    <row r="1" spans="1:41" s="58" customFormat="1" ht="27" x14ac:dyDescent="0.2">
      <c r="A1" s="220" t="s">
        <v>77</v>
      </c>
      <c r="B1" s="88"/>
      <c r="C1" s="88"/>
      <c r="D1" s="88"/>
      <c r="E1" s="88"/>
      <c r="F1" s="88"/>
      <c r="G1" s="88"/>
      <c r="H1" s="88"/>
      <c r="I1" s="88"/>
      <c r="J1" s="88"/>
      <c r="K1" s="88"/>
      <c r="L1" s="89"/>
      <c r="M1" s="88"/>
      <c r="N1" s="88"/>
      <c r="O1" s="88"/>
      <c r="P1" s="88"/>
      <c r="Q1" s="88"/>
      <c r="R1" s="88"/>
      <c r="S1" s="88"/>
      <c r="T1" s="1"/>
      <c r="U1" s="1"/>
      <c r="V1" s="1"/>
      <c r="W1" s="1"/>
      <c r="X1" s="1"/>
      <c r="Y1" s="1"/>
      <c r="Z1" s="1"/>
      <c r="AA1" s="1"/>
      <c r="AB1" s="1"/>
      <c r="AC1" s="1"/>
      <c r="AD1" s="1"/>
      <c r="AE1" s="1"/>
      <c r="AF1" s="1"/>
      <c r="AG1" s="1"/>
      <c r="AH1" s="1"/>
      <c r="AI1" s="1"/>
      <c r="AJ1" s="1"/>
      <c r="AK1" s="1"/>
      <c r="AL1" s="1"/>
      <c r="AM1" s="1"/>
      <c r="AN1" s="1"/>
      <c r="AO1" s="1"/>
    </row>
    <row r="2" spans="1:41" s="86" customFormat="1" ht="27.75" customHeight="1" x14ac:dyDescent="0.2">
      <c r="A2" s="222" t="s">
        <v>16</v>
      </c>
      <c r="B2" s="223" t="str">
        <f>IF('Panoramica SP'!B2=0,"",'Panoramica SP'!B2)</f>
        <v/>
      </c>
      <c r="C2" s="223"/>
      <c r="D2" s="224"/>
      <c r="E2" s="222" t="s">
        <v>15</v>
      </c>
      <c r="F2" s="225"/>
      <c r="G2" s="224"/>
      <c r="H2" s="224"/>
      <c r="I2" s="224"/>
      <c r="J2" s="224"/>
      <c r="K2" s="224"/>
      <c r="L2" s="602"/>
      <c r="M2" s="224"/>
      <c r="N2" s="224"/>
      <c r="O2" s="224"/>
      <c r="P2" s="224"/>
      <c r="Q2" s="226"/>
      <c r="R2" s="226"/>
      <c r="S2" s="226"/>
      <c r="T2" s="85"/>
      <c r="U2" s="85"/>
      <c r="V2" s="87"/>
      <c r="W2" s="87"/>
      <c r="X2" s="85"/>
      <c r="Y2" s="85"/>
      <c r="Z2" s="85"/>
      <c r="AA2" s="85"/>
      <c r="AB2" s="85"/>
      <c r="AC2" s="85"/>
      <c r="AD2" s="85"/>
      <c r="AE2" s="85"/>
      <c r="AF2" s="85"/>
    </row>
    <row r="3" spans="1:41" s="570" customFormat="1" ht="23.25" customHeight="1" x14ac:dyDescent="0.2">
      <c r="A3" s="567" t="s">
        <v>20</v>
      </c>
      <c r="B3" s="568"/>
      <c r="C3" s="568"/>
      <c r="D3" s="568"/>
      <c r="E3" s="568"/>
      <c r="F3" s="568"/>
      <c r="G3" s="568"/>
      <c r="H3" s="568"/>
      <c r="I3" s="568"/>
      <c r="J3" s="567"/>
      <c r="K3" s="568"/>
      <c r="L3" s="568"/>
      <c r="M3" s="568"/>
      <c r="N3" s="568"/>
      <c r="O3" s="568"/>
      <c r="P3" s="568"/>
      <c r="Q3" s="568"/>
      <c r="R3" s="568"/>
      <c r="S3" s="568"/>
      <c r="T3" s="572"/>
      <c r="U3" s="572"/>
      <c r="V3" s="572"/>
      <c r="W3" s="572"/>
      <c r="X3" s="569"/>
      <c r="Y3" s="569"/>
      <c r="Z3" s="569"/>
      <c r="AA3" s="569"/>
      <c r="AB3" s="569"/>
      <c r="AC3" s="569"/>
      <c r="AD3" s="569"/>
      <c r="AE3" s="569"/>
      <c r="AF3" s="569"/>
      <c r="AG3" s="573"/>
      <c r="AH3" s="573"/>
      <c r="AI3" s="573"/>
      <c r="AJ3" s="573"/>
    </row>
    <row r="4" spans="1:41" s="3" customFormat="1" ht="84.6" customHeight="1" outlineLevel="1" x14ac:dyDescent="0.3">
      <c r="A4" s="801" t="s">
        <v>384</v>
      </c>
      <c r="B4" s="802"/>
      <c r="C4" s="802"/>
      <c r="D4" s="802"/>
      <c r="E4" s="802"/>
      <c r="F4" s="802"/>
      <c r="G4" s="802"/>
      <c r="H4" s="802"/>
      <c r="I4" s="802"/>
      <c r="J4" s="802"/>
      <c r="K4" s="802"/>
      <c r="L4" s="802"/>
      <c r="M4" s="802"/>
      <c r="N4" s="802"/>
      <c r="O4" s="802"/>
      <c r="P4" s="802"/>
      <c r="Q4" s="802"/>
      <c r="R4" s="802"/>
      <c r="S4" s="802"/>
      <c r="T4" s="4"/>
      <c r="U4" s="4"/>
      <c r="V4" s="4"/>
      <c r="W4" s="4"/>
      <c r="X4" s="1"/>
      <c r="Y4" s="1"/>
      <c r="Z4" s="1"/>
      <c r="AA4" s="1"/>
      <c r="AB4" s="1"/>
      <c r="AC4" s="1"/>
      <c r="AD4" s="1"/>
      <c r="AE4" s="1"/>
      <c r="AF4" s="1"/>
    </row>
    <row r="5" spans="1:41" s="3" customFormat="1" ht="23.25" x14ac:dyDescent="0.3">
      <c r="A5" s="108" t="s">
        <v>76</v>
      </c>
      <c r="B5" s="106"/>
      <c r="C5" s="106"/>
      <c r="D5" s="106"/>
      <c r="E5" s="106"/>
      <c r="F5" s="106"/>
      <c r="G5" s="106"/>
      <c r="H5" s="106"/>
      <c r="I5" s="106"/>
      <c r="J5" s="106"/>
      <c r="K5" s="106"/>
      <c r="L5" s="105"/>
      <c r="M5" s="106"/>
      <c r="N5" s="227"/>
      <c r="O5" s="227"/>
      <c r="P5" s="227"/>
      <c r="Q5" s="227"/>
      <c r="R5" s="4"/>
      <c r="S5" s="4"/>
      <c r="T5" s="4"/>
      <c r="U5" s="4"/>
      <c r="V5" s="4"/>
      <c r="W5" s="4"/>
      <c r="X5" s="4"/>
      <c r="Y5" s="4"/>
      <c r="Z5" s="4"/>
      <c r="AA5" s="4"/>
      <c r="AB5" s="4"/>
      <c r="AC5" s="4"/>
      <c r="AD5" s="4"/>
      <c r="AE5" s="4"/>
      <c r="AF5" s="4"/>
      <c r="AG5" s="9"/>
      <c r="AH5" s="9"/>
      <c r="AI5" s="9"/>
      <c r="AJ5" s="9"/>
    </row>
    <row r="6" spans="1:41" s="3" customFormat="1" ht="6" customHeight="1" x14ac:dyDescent="0.3">
      <c r="A6" s="228"/>
      <c r="B6" s="228"/>
      <c r="C6" s="228"/>
      <c r="D6" s="228"/>
      <c r="E6" s="228"/>
      <c r="F6" s="228"/>
      <c r="G6" s="228"/>
      <c r="H6" s="228"/>
      <c r="I6" s="228"/>
      <c r="J6" s="228"/>
      <c r="K6" s="228"/>
      <c r="L6" s="603"/>
      <c r="M6" s="228"/>
      <c r="N6" s="11"/>
      <c r="O6" s="11"/>
      <c r="P6" s="11"/>
      <c r="Q6" s="11"/>
      <c r="R6" s="11"/>
      <c r="S6" s="11"/>
      <c r="T6" s="1"/>
      <c r="U6" s="1"/>
      <c r="V6" s="1"/>
      <c r="W6" s="1"/>
      <c r="X6" s="1"/>
      <c r="Y6" s="1"/>
      <c r="Z6" s="1"/>
      <c r="AA6" s="1"/>
      <c r="AB6" s="1"/>
      <c r="AC6" s="1"/>
      <c r="AD6" s="1"/>
      <c r="AE6" s="1"/>
      <c r="AF6" s="1"/>
    </row>
    <row r="7" spans="1:41" s="570" customFormat="1" ht="18" x14ac:dyDescent="0.2">
      <c r="A7" s="567" t="s">
        <v>78</v>
      </c>
      <c r="B7" s="568"/>
      <c r="C7" s="568"/>
      <c r="D7" s="568"/>
      <c r="E7" s="568"/>
      <c r="F7" s="568"/>
      <c r="G7" s="568"/>
      <c r="H7" s="568"/>
      <c r="I7" s="568"/>
      <c r="J7" s="567"/>
      <c r="K7" s="568"/>
      <c r="L7" s="568"/>
      <c r="M7" s="568"/>
      <c r="N7" s="568"/>
      <c r="O7" s="568"/>
      <c r="P7" s="568"/>
      <c r="Q7" s="574" t="s">
        <v>268</v>
      </c>
      <c r="R7" s="574"/>
      <c r="S7" s="574"/>
      <c r="T7" s="572"/>
      <c r="U7" s="572"/>
      <c r="V7" s="572"/>
      <c r="W7" s="572"/>
      <c r="X7" s="569"/>
      <c r="Y7" s="569"/>
      <c r="Z7" s="569"/>
      <c r="AA7" s="569"/>
      <c r="AB7" s="569"/>
      <c r="AC7" s="569"/>
      <c r="AD7" s="569"/>
      <c r="AE7" s="569"/>
      <c r="AF7" s="569"/>
      <c r="AG7" s="573"/>
      <c r="AH7" s="573"/>
      <c r="AI7" s="573"/>
      <c r="AJ7" s="573"/>
    </row>
    <row r="8" spans="1:41" s="1" customFormat="1" ht="63" x14ac:dyDescent="0.2">
      <c r="A8" s="229"/>
      <c r="B8" s="230"/>
      <c r="C8" s="231" t="s">
        <v>31</v>
      </c>
      <c r="D8" s="231" t="s">
        <v>74</v>
      </c>
      <c r="E8" s="231" t="s">
        <v>1</v>
      </c>
      <c r="F8" s="231" t="s">
        <v>2</v>
      </c>
      <c r="G8" s="231" t="s">
        <v>3</v>
      </c>
      <c r="H8" s="231" t="s">
        <v>4</v>
      </c>
      <c r="I8" s="231" t="s">
        <v>5</v>
      </c>
      <c r="J8" s="232" t="s">
        <v>75</v>
      </c>
      <c r="K8" s="233" t="s">
        <v>30</v>
      </c>
      <c r="L8" s="233" t="s">
        <v>341</v>
      </c>
      <c r="M8" s="233"/>
      <c r="N8" s="233" t="s">
        <v>342</v>
      </c>
      <c r="O8" s="234"/>
      <c r="P8" s="745" t="s">
        <v>376</v>
      </c>
      <c r="Q8" s="235" t="str">
        <f>C8</f>
        <v>n = anno precedente</v>
      </c>
      <c r="R8" s="235" t="str">
        <f>D8</f>
        <v>n+1 
(1° anno PSR)</v>
      </c>
      <c r="S8" s="236" t="str">
        <f>I8</f>
        <v>n+6</v>
      </c>
      <c r="T8" s="572"/>
      <c r="U8" s="572"/>
    </row>
    <row r="9" spans="1:41" s="572" customFormat="1" ht="47.25" x14ac:dyDescent="0.2">
      <c r="A9" s="586" t="s">
        <v>311</v>
      </c>
      <c r="B9" s="587"/>
      <c r="C9" s="588">
        <f>SUM(C10:C18)</f>
        <v>0</v>
      </c>
      <c r="D9" s="588">
        <f t="shared" ref="D9:J9" si="0">SUM(D10:D18)</f>
        <v>0</v>
      </c>
      <c r="E9" s="588">
        <f t="shared" si="0"/>
        <v>0</v>
      </c>
      <c r="F9" s="588">
        <f t="shared" si="0"/>
        <v>0</v>
      </c>
      <c r="G9" s="588">
        <f t="shared" si="0"/>
        <v>0</v>
      </c>
      <c r="H9" s="588">
        <f t="shared" si="0"/>
        <v>0</v>
      </c>
      <c r="I9" s="588">
        <f t="shared" si="0"/>
        <v>0</v>
      </c>
      <c r="J9" s="589">
        <f t="shared" si="0"/>
        <v>0</v>
      </c>
      <c r="K9" s="590">
        <f>SUM(C9:J9)</f>
        <v>0</v>
      </c>
      <c r="L9" s="678" t="s">
        <v>31</v>
      </c>
      <c r="M9" s="679" t="s">
        <v>5</v>
      </c>
      <c r="N9" s="678" t="s">
        <v>31</v>
      </c>
      <c r="O9" s="678" t="s">
        <v>5</v>
      </c>
      <c r="P9" s="746"/>
      <c r="Q9" s="585" t="str">
        <f>IF(SUM(Q10:Q18)=100%,"OK","!")</f>
        <v>!</v>
      </c>
      <c r="R9" s="585" t="str">
        <f t="shared" ref="R9:S9" si="1">IF(SUM(R10:R18)=100%,"OK","!")</f>
        <v>!</v>
      </c>
      <c r="S9" s="585" t="str">
        <f t="shared" si="1"/>
        <v>!</v>
      </c>
    </row>
    <row r="10" spans="1:41" s="1" customFormat="1" x14ac:dyDescent="0.2">
      <c r="A10" s="237" t="s">
        <v>73</v>
      </c>
      <c r="B10" s="238"/>
      <c r="C10" s="751">
        <f>L10*N10</f>
        <v>0</v>
      </c>
      <c r="D10" s="239"/>
      <c r="E10" s="239"/>
      <c r="F10" s="239"/>
      <c r="G10" s="239"/>
      <c r="H10" s="239"/>
      <c r="I10" s="751">
        <f>M10*O10</f>
        <v>0</v>
      </c>
      <c r="J10" s="240"/>
      <c r="K10" s="241">
        <f>SUM(C10:J10)</f>
        <v>0</v>
      </c>
      <c r="L10" s="240"/>
      <c r="M10" s="240"/>
      <c r="N10" s="240"/>
      <c r="O10" s="240"/>
      <c r="P10" s="245"/>
      <c r="Q10" s="10" t="str">
        <f>IFERROR(C10/$C$9,"N/A")</f>
        <v>N/A</v>
      </c>
      <c r="R10" s="10" t="str">
        <f>IFERROR(D10/$D$9,"N/A")</f>
        <v>N/A</v>
      </c>
      <c r="S10" s="10" t="str">
        <f>IFERROR(I10/$I$9,"N/A")</f>
        <v>N/A</v>
      </c>
      <c r="T10" s="7"/>
      <c r="U10" s="7"/>
    </row>
    <row r="11" spans="1:41" s="1" customFormat="1" x14ac:dyDescent="0.2">
      <c r="A11" s="237" t="s">
        <v>72</v>
      </c>
      <c r="B11" s="238"/>
      <c r="C11" s="751">
        <f t="shared" ref="C11:C18" si="2">L11*N11</f>
        <v>0</v>
      </c>
      <c r="D11" s="239"/>
      <c r="E11" s="239"/>
      <c r="F11" s="239"/>
      <c r="G11" s="239"/>
      <c r="H11" s="239"/>
      <c r="I11" s="751">
        <f t="shared" ref="I11:I18" si="3">M11*O11</f>
        <v>0</v>
      </c>
      <c r="J11" s="240"/>
      <c r="K11" s="241">
        <f>SUM(C11:J11)</f>
        <v>0</v>
      </c>
      <c r="L11" s="240"/>
      <c r="M11" s="240"/>
      <c r="N11" s="240"/>
      <c r="O11" s="240"/>
      <c r="P11" s="245"/>
      <c r="Q11" s="10" t="str">
        <f>IFERROR(C11/$C$9,"N/A")</f>
        <v>N/A</v>
      </c>
      <c r="R11" s="10" t="str">
        <f>IFERROR(D11/$D$9,"N/A")</f>
        <v>N/A</v>
      </c>
      <c r="S11" s="10" t="str">
        <f>IFERROR(I11/$I$9,"N/A")</f>
        <v>N/A</v>
      </c>
      <c r="T11" s="7"/>
      <c r="U11" s="7"/>
    </row>
    <row r="12" spans="1:41" s="1" customFormat="1" x14ac:dyDescent="0.2">
      <c r="A12" s="237" t="s">
        <v>70</v>
      </c>
      <c r="B12" s="238"/>
      <c r="C12" s="751">
        <f t="shared" si="2"/>
        <v>0</v>
      </c>
      <c r="D12" s="239"/>
      <c r="E12" s="239"/>
      <c r="F12" s="239"/>
      <c r="G12" s="239"/>
      <c r="H12" s="239"/>
      <c r="I12" s="751">
        <f t="shared" si="3"/>
        <v>0</v>
      </c>
      <c r="J12" s="240"/>
      <c r="K12" s="241">
        <f>SUM(C12:J12)</f>
        <v>0</v>
      </c>
      <c r="L12" s="240"/>
      <c r="M12" s="240"/>
      <c r="N12" s="240"/>
      <c r="O12" s="240"/>
      <c r="P12" s="245"/>
      <c r="Q12" s="10" t="str">
        <f>IFERROR(C12/$C$9,"N/A")</f>
        <v>N/A</v>
      </c>
      <c r="R12" s="10" t="str">
        <f>IFERROR(D12/$D$9,"N/A")</f>
        <v>N/A</v>
      </c>
      <c r="S12" s="10" t="str">
        <f>IFERROR(I12/$I$9,"N/A")</f>
        <v>N/A</v>
      </c>
      <c r="T12" s="7"/>
      <c r="U12" s="7"/>
    </row>
    <row r="13" spans="1:41" s="1" customFormat="1" x14ac:dyDescent="0.2">
      <c r="A13" s="237"/>
      <c r="B13" s="238"/>
      <c r="C13" s="751">
        <f t="shared" si="2"/>
        <v>0</v>
      </c>
      <c r="D13" s="239"/>
      <c r="E13" s="239"/>
      <c r="F13" s="239"/>
      <c r="G13" s="239"/>
      <c r="H13" s="239"/>
      <c r="I13" s="751">
        <f t="shared" si="3"/>
        <v>0</v>
      </c>
      <c r="J13" s="240"/>
      <c r="K13" s="241"/>
      <c r="L13" s="240"/>
      <c r="M13" s="240"/>
      <c r="N13" s="240"/>
      <c r="O13" s="240"/>
      <c r="P13" s="245"/>
      <c r="Q13" s="10" t="str">
        <f>IFERROR(C13/$C$9,"N/A")</f>
        <v>N/A</v>
      </c>
      <c r="R13" s="10" t="str">
        <f>IFERROR(D13/$D$9,"N/A")</f>
        <v>N/A</v>
      </c>
      <c r="S13" s="10" t="str">
        <f>IFERROR(I13/$I$9,"N/A")</f>
        <v>N/A</v>
      </c>
      <c r="T13" s="7"/>
      <c r="U13" s="7"/>
    </row>
    <row r="14" spans="1:41" s="1" customFormat="1" x14ac:dyDescent="0.2">
      <c r="A14" s="243" t="s">
        <v>79</v>
      </c>
      <c r="B14" s="238"/>
      <c r="C14" s="751">
        <f t="shared" si="2"/>
        <v>0</v>
      </c>
      <c r="D14" s="239"/>
      <c r="E14" s="239"/>
      <c r="F14" s="239"/>
      <c r="G14" s="239"/>
      <c r="H14" s="239"/>
      <c r="I14" s="751">
        <f t="shared" si="3"/>
        <v>0</v>
      </c>
      <c r="J14" s="240"/>
      <c r="K14" s="241"/>
      <c r="L14" s="240"/>
      <c r="M14" s="240"/>
      <c r="N14" s="240"/>
      <c r="O14" s="240"/>
      <c r="P14" s="245"/>
      <c r="Q14" s="10" t="str">
        <f>IFERROR(C14/$C$9,"N/A")</f>
        <v>N/A</v>
      </c>
      <c r="R14" s="10" t="str">
        <f>IFERROR(D14/$D$9,"N/A")</f>
        <v>N/A</v>
      </c>
      <c r="S14" s="10" t="str">
        <f>IFERROR(I14/$I$9,"N/A")</f>
        <v>N/A</v>
      </c>
      <c r="T14" s="7"/>
      <c r="U14" s="7"/>
    </row>
    <row r="15" spans="1:41" s="1" customFormat="1" x14ac:dyDescent="0.2">
      <c r="A15" s="243"/>
      <c r="B15" s="238"/>
      <c r="C15" s="751">
        <f t="shared" si="2"/>
        <v>0</v>
      </c>
      <c r="D15" s="239"/>
      <c r="E15" s="239"/>
      <c r="F15" s="239"/>
      <c r="G15" s="239"/>
      <c r="H15" s="239"/>
      <c r="I15" s="751">
        <f t="shared" si="3"/>
        <v>0</v>
      </c>
      <c r="J15" s="240"/>
      <c r="K15" s="241"/>
      <c r="L15" s="240"/>
      <c r="M15" s="240"/>
      <c r="N15" s="240"/>
      <c r="O15" s="240"/>
      <c r="P15" s="245"/>
      <c r="Q15" s="10"/>
      <c r="R15" s="10"/>
      <c r="S15" s="10"/>
      <c r="T15" s="7"/>
      <c r="U15" s="7"/>
    </row>
    <row r="16" spans="1:41" s="1" customFormat="1" x14ac:dyDescent="0.2">
      <c r="A16" s="243"/>
      <c r="B16" s="238"/>
      <c r="C16" s="751">
        <f t="shared" si="2"/>
        <v>0</v>
      </c>
      <c r="D16" s="239"/>
      <c r="E16" s="239"/>
      <c r="F16" s="239"/>
      <c r="G16" s="239"/>
      <c r="H16" s="239"/>
      <c r="I16" s="751">
        <f t="shared" si="3"/>
        <v>0</v>
      </c>
      <c r="J16" s="240"/>
      <c r="K16" s="241"/>
      <c r="L16" s="240"/>
      <c r="M16" s="240"/>
      <c r="N16" s="240"/>
      <c r="O16" s="240"/>
      <c r="P16" s="245"/>
      <c r="Q16" s="10"/>
      <c r="R16" s="10"/>
      <c r="S16" s="10"/>
      <c r="T16" s="7"/>
      <c r="U16" s="7"/>
    </row>
    <row r="17" spans="1:21" s="1" customFormat="1" x14ac:dyDescent="0.2">
      <c r="A17" s="237"/>
      <c r="B17" s="238"/>
      <c r="C17" s="751">
        <f t="shared" si="2"/>
        <v>0</v>
      </c>
      <c r="D17" s="239"/>
      <c r="E17" s="239"/>
      <c r="F17" s="239"/>
      <c r="G17" s="239"/>
      <c r="H17" s="239"/>
      <c r="I17" s="751">
        <f t="shared" si="3"/>
        <v>0</v>
      </c>
      <c r="J17" s="240"/>
      <c r="K17" s="241"/>
      <c r="L17" s="240"/>
      <c r="M17" s="240"/>
      <c r="N17" s="240"/>
      <c r="O17" s="240"/>
      <c r="P17" s="245"/>
      <c r="Q17" s="10" t="str">
        <f>IFERROR(C17/$C$9,"N/A")</f>
        <v>N/A</v>
      </c>
      <c r="R17" s="10" t="str">
        <f>IFERROR(D17/$D$9,"N/A")</f>
        <v>N/A</v>
      </c>
      <c r="S17" s="10" t="str">
        <f>IFERROR(I17/$I$9,"N/A")</f>
        <v>N/A</v>
      </c>
      <c r="T17" s="7"/>
      <c r="U17" s="7"/>
    </row>
    <row r="18" spans="1:21" s="1" customFormat="1" x14ac:dyDescent="0.2">
      <c r="A18" s="237"/>
      <c r="B18" s="238"/>
      <c r="C18" s="751">
        <f t="shared" si="2"/>
        <v>0</v>
      </c>
      <c r="D18" s="239"/>
      <c r="E18" s="239"/>
      <c r="F18" s="239"/>
      <c r="G18" s="239"/>
      <c r="H18" s="239"/>
      <c r="I18" s="751">
        <f t="shared" si="3"/>
        <v>0</v>
      </c>
      <c r="J18" s="240"/>
      <c r="K18" s="241"/>
      <c r="L18" s="240"/>
      <c r="M18" s="240"/>
      <c r="N18" s="240"/>
      <c r="O18" s="240"/>
      <c r="P18" s="245"/>
      <c r="Q18" s="10" t="str">
        <f>IFERROR(C18/$C$9,"N/A")</f>
        <v>N/A</v>
      </c>
      <c r="R18" s="10" t="str">
        <f>IFERROR(D18/$D$9,"N/A")</f>
        <v>N/A</v>
      </c>
      <c r="S18" s="10" t="str">
        <f>IFERROR(I18/$I$9,"N/A")</f>
        <v>N/A</v>
      </c>
      <c r="T18" s="7"/>
      <c r="U18" s="7"/>
    </row>
    <row r="19" spans="1:21" s="572" customFormat="1" ht="63" x14ac:dyDescent="0.2">
      <c r="A19" s="580" t="s">
        <v>310</v>
      </c>
      <c r="B19" s="581"/>
      <c r="C19" s="582">
        <f>SUM(C20:C26)</f>
        <v>0</v>
      </c>
      <c r="D19" s="582">
        <f t="shared" ref="D19:H19" si="4">SUM(D20:D26)</f>
        <v>0</v>
      </c>
      <c r="E19" s="582">
        <f t="shared" si="4"/>
        <v>0</v>
      </c>
      <c r="F19" s="582">
        <f t="shared" si="4"/>
        <v>0</v>
      </c>
      <c r="G19" s="582">
        <f t="shared" si="4"/>
        <v>0</v>
      </c>
      <c r="H19" s="582">
        <f t="shared" si="4"/>
        <v>0</v>
      </c>
      <c r="I19" s="582">
        <f>SUM(I20:I26)</f>
        <v>0</v>
      </c>
      <c r="J19" s="583">
        <f>SUM(J20:J26)</f>
        <v>0</v>
      </c>
      <c r="K19" s="584">
        <f>SUM(C19:J19)</f>
        <v>0</v>
      </c>
      <c r="L19" s="678" t="s">
        <v>343</v>
      </c>
      <c r="M19" s="679" t="s">
        <v>5</v>
      </c>
      <c r="N19" s="678" t="s">
        <v>344</v>
      </c>
      <c r="O19" s="678" t="s">
        <v>5</v>
      </c>
      <c r="P19" s="746"/>
      <c r="Q19" s="585" t="str">
        <f>IF(SUM(Q20:Q27)=100%,"OK","!")</f>
        <v>!</v>
      </c>
      <c r="R19" s="585" t="str">
        <f t="shared" ref="R19:S19" si="5">IF(SUM(R20:R27)=100%,"OK","!")</f>
        <v>!</v>
      </c>
      <c r="S19" s="585" t="str">
        <f t="shared" si="5"/>
        <v>!</v>
      </c>
    </row>
    <row r="20" spans="1:21" s="1" customFormat="1" x14ac:dyDescent="0.2">
      <c r="A20" s="237" t="s">
        <v>73</v>
      </c>
      <c r="B20" s="244"/>
      <c r="C20" s="751">
        <f>L20*N20</f>
        <v>0</v>
      </c>
      <c r="D20" s="245"/>
      <c r="E20" s="245"/>
      <c r="F20" s="245"/>
      <c r="G20" s="245"/>
      <c r="H20" s="245"/>
      <c r="I20" s="751">
        <f>M20*O20</f>
        <v>0</v>
      </c>
      <c r="J20" s="240"/>
      <c r="K20" s="241">
        <f>SUM(C20:J20)</f>
        <v>0</v>
      </c>
      <c r="L20" s="750"/>
      <c r="M20" s="750"/>
      <c r="N20" s="240">
        <f>N10</f>
        <v>0</v>
      </c>
      <c r="O20" s="240">
        <f>O10</f>
        <v>0</v>
      </c>
      <c r="P20" s="245"/>
      <c r="Q20" s="10" t="str">
        <f t="shared" ref="Q20:Q27" si="6">IFERROR(C20/$C$19,"N/A")</f>
        <v>N/A</v>
      </c>
      <c r="R20" s="10" t="str">
        <f t="shared" ref="R20:R27" si="7">IFERROR(D20/$D$19,"N/A")</f>
        <v>N/A</v>
      </c>
      <c r="S20" s="10" t="str">
        <f t="shared" ref="S20:S27" si="8">IFERROR(I20/$I$19,"N/A")</f>
        <v>N/A</v>
      </c>
      <c r="T20" s="7"/>
      <c r="U20" s="7"/>
    </row>
    <row r="21" spans="1:21" s="1" customFormat="1" x14ac:dyDescent="0.2">
      <c r="A21" s="237" t="s">
        <v>72</v>
      </c>
      <c r="B21" s="244"/>
      <c r="C21" s="751">
        <f t="shared" ref="C21:C26" si="9">L21*N21</f>
        <v>0</v>
      </c>
      <c r="D21" s="245"/>
      <c r="E21" s="245"/>
      <c r="F21" s="245"/>
      <c r="G21" s="245"/>
      <c r="H21" s="245"/>
      <c r="I21" s="751">
        <f t="shared" ref="I21:I26" si="10">M21*O21</f>
        <v>0</v>
      </c>
      <c r="J21" s="240"/>
      <c r="K21" s="241">
        <f>SUM(C21:J21)</f>
        <v>0</v>
      </c>
      <c r="L21" s="750"/>
      <c r="M21" s="750"/>
      <c r="N21" s="240">
        <f t="shared" ref="N21:O22" si="11">N11</f>
        <v>0</v>
      </c>
      <c r="O21" s="240">
        <f t="shared" si="11"/>
        <v>0</v>
      </c>
      <c r="P21" s="245"/>
      <c r="Q21" s="10" t="str">
        <f t="shared" si="6"/>
        <v>N/A</v>
      </c>
      <c r="R21" s="10" t="str">
        <f t="shared" si="7"/>
        <v>N/A</v>
      </c>
      <c r="S21" s="10" t="str">
        <f t="shared" si="8"/>
        <v>N/A</v>
      </c>
      <c r="T21" s="7"/>
      <c r="U21" s="7"/>
    </row>
    <row r="22" spans="1:21" s="1" customFormat="1" x14ac:dyDescent="0.2">
      <c r="A22" s="237" t="s">
        <v>70</v>
      </c>
      <c r="B22" s="244"/>
      <c r="C22" s="751">
        <f t="shared" si="9"/>
        <v>0</v>
      </c>
      <c r="D22" s="245"/>
      <c r="E22" s="245"/>
      <c r="F22" s="245"/>
      <c r="G22" s="245"/>
      <c r="H22" s="245"/>
      <c r="I22" s="751">
        <f t="shared" si="10"/>
        <v>0</v>
      </c>
      <c r="J22" s="240"/>
      <c r="K22" s="241">
        <f>SUM(C22:J22)</f>
        <v>0</v>
      </c>
      <c r="L22" s="750"/>
      <c r="M22" s="750"/>
      <c r="N22" s="240">
        <f t="shared" si="11"/>
        <v>0</v>
      </c>
      <c r="O22" s="240">
        <f t="shared" si="11"/>
        <v>0</v>
      </c>
      <c r="P22" s="245"/>
      <c r="Q22" s="10" t="str">
        <f t="shared" si="6"/>
        <v>N/A</v>
      </c>
      <c r="R22" s="10" t="str">
        <f t="shared" si="7"/>
        <v>N/A</v>
      </c>
      <c r="S22" s="10" t="str">
        <f t="shared" si="8"/>
        <v>N/A</v>
      </c>
      <c r="T22" s="7"/>
      <c r="U22" s="7"/>
    </row>
    <row r="23" spans="1:21" s="1" customFormat="1" x14ac:dyDescent="0.2">
      <c r="A23" s="237"/>
      <c r="B23" s="244"/>
      <c r="C23" s="751">
        <f t="shared" si="9"/>
        <v>0</v>
      </c>
      <c r="D23" s="245"/>
      <c r="E23" s="245"/>
      <c r="F23" s="245"/>
      <c r="G23" s="245"/>
      <c r="H23" s="245"/>
      <c r="I23" s="751">
        <f t="shared" si="10"/>
        <v>0</v>
      </c>
      <c r="J23" s="240"/>
      <c r="K23" s="241"/>
      <c r="L23" s="240"/>
      <c r="M23" s="240"/>
      <c r="N23" s="240">
        <f t="shared" ref="N23" si="12">N13</f>
        <v>0</v>
      </c>
      <c r="O23" s="240">
        <f t="shared" ref="O23:O26" si="13">O13</f>
        <v>0</v>
      </c>
      <c r="P23" s="245"/>
      <c r="Q23" s="10" t="str">
        <f t="shared" si="6"/>
        <v>N/A</v>
      </c>
      <c r="R23" s="10" t="str">
        <f t="shared" si="7"/>
        <v>N/A</v>
      </c>
      <c r="S23" s="10" t="str">
        <f t="shared" si="8"/>
        <v>N/A</v>
      </c>
      <c r="T23" s="7"/>
      <c r="U23" s="7"/>
    </row>
    <row r="24" spans="1:21" s="1" customFormat="1" x14ac:dyDescent="0.2">
      <c r="A24" s="237"/>
      <c r="B24" s="244"/>
      <c r="C24" s="751">
        <f t="shared" si="9"/>
        <v>0</v>
      </c>
      <c r="D24" s="245"/>
      <c r="E24" s="245"/>
      <c r="F24" s="245"/>
      <c r="G24" s="245"/>
      <c r="H24" s="245"/>
      <c r="I24" s="751">
        <f t="shared" si="10"/>
        <v>0</v>
      </c>
      <c r="J24" s="240"/>
      <c r="K24" s="241"/>
      <c r="L24" s="240"/>
      <c r="M24" s="240"/>
      <c r="N24" s="240">
        <f t="shared" ref="N24" si="14">N14</f>
        <v>0</v>
      </c>
      <c r="O24" s="240">
        <f t="shared" si="13"/>
        <v>0</v>
      </c>
      <c r="P24" s="245"/>
      <c r="Q24" s="10" t="str">
        <f t="shared" si="6"/>
        <v>N/A</v>
      </c>
      <c r="R24" s="10" t="str">
        <f t="shared" si="7"/>
        <v>N/A</v>
      </c>
      <c r="S24" s="10" t="str">
        <f t="shared" si="8"/>
        <v>N/A</v>
      </c>
      <c r="T24" s="7"/>
      <c r="U24" s="7"/>
    </row>
    <row r="25" spans="1:21" s="1" customFormat="1" x14ac:dyDescent="0.2">
      <c r="A25" s="237"/>
      <c r="B25" s="244"/>
      <c r="C25" s="751">
        <f t="shared" si="9"/>
        <v>0</v>
      </c>
      <c r="D25" s="245"/>
      <c r="E25" s="245"/>
      <c r="F25" s="245"/>
      <c r="G25" s="245"/>
      <c r="H25" s="245"/>
      <c r="I25" s="751">
        <f t="shared" si="10"/>
        <v>0</v>
      </c>
      <c r="J25" s="240"/>
      <c r="K25" s="241"/>
      <c r="L25" s="240"/>
      <c r="M25" s="240"/>
      <c r="N25" s="240">
        <f t="shared" ref="N25" si="15">N15</f>
        <v>0</v>
      </c>
      <c r="O25" s="240">
        <f t="shared" si="13"/>
        <v>0</v>
      </c>
      <c r="P25" s="245"/>
      <c r="Q25" s="10" t="str">
        <f t="shared" si="6"/>
        <v>N/A</v>
      </c>
      <c r="R25" s="10" t="str">
        <f t="shared" si="7"/>
        <v>N/A</v>
      </c>
      <c r="S25" s="10" t="str">
        <f t="shared" si="8"/>
        <v>N/A</v>
      </c>
      <c r="T25" s="7"/>
      <c r="U25" s="7"/>
    </row>
    <row r="26" spans="1:21" s="1" customFormat="1" x14ac:dyDescent="0.2">
      <c r="A26" s="237"/>
      <c r="B26" s="244"/>
      <c r="C26" s="751">
        <f t="shared" si="9"/>
        <v>0</v>
      </c>
      <c r="D26" s="245"/>
      <c r="E26" s="245"/>
      <c r="F26" s="245"/>
      <c r="G26" s="245"/>
      <c r="H26" s="245"/>
      <c r="I26" s="751">
        <f t="shared" si="10"/>
        <v>0</v>
      </c>
      <c r="J26" s="240"/>
      <c r="K26" s="241"/>
      <c r="L26" s="240"/>
      <c r="M26" s="240"/>
      <c r="N26" s="240">
        <f t="shared" ref="N26" si="16">N16</f>
        <v>0</v>
      </c>
      <c r="O26" s="240">
        <f t="shared" si="13"/>
        <v>0</v>
      </c>
      <c r="P26" s="245"/>
      <c r="Q26" s="10" t="str">
        <f t="shared" si="6"/>
        <v>N/A</v>
      </c>
      <c r="R26" s="10" t="str">
        <f t="shared" si="7"/>
        <v>N/A</v>
      </c>
      <c r="S26" s="10" t="str">
        <f t="shared" si="8"/>
        <v>N/A</v>
      </c>
      <c r="T26" s="7"/>
      <c r="U26" s="7"/>
    </row>
    <row r="27" spans="1:21" s="1" customFormat="1" x14ac:dyDescent="0.2">
      <c r="A27" s="237" t="s">
        <v>0</v>
      </c>
      <c r="B27" s="246"/>
      <c r="C27" s="247"/>
      <c r="D27" s="247"/>
      <c r="E27" s="247"/>
      <c r="F27" s="247"/>
      <c r="G27" s="247"/>
      <c r="H27" s="247"/>
      <c r="I27" s="247"/>
      <c r="J27" s="248"/>
      <c r="K27" s="241"/>
      <c r="L27" s="241"/>
      <c r="M27" s="241"/>
      <c r="N27" s="605"/>
      <c r="O27" s="242"/>
      <c r="P27" s="106"/>
      <c r="Q27" s="10" t="str">
        <f t="shared" si="6"/>
        <v>N/A</v>
      </c>
      <c r="R27" s="10" t="str">
        <f t="shared" si="7"/>
        <v>N/A</v>
      </c>
      <c r="S27" s="10" t="str">
        <f t="shared" si="8"/>
        <v>N/A</v>
      </c>
      <c r="T27" s="7"/>
      <c r="U27" s="7"/>
    </row>
    <row r="28" spans="1:21" s="569" customFormat="1" ht="18" x14ac:dyDescent="0.2">
      <c r="A28" s="575" t="s">
        <v>82</v>
      </c>
      <c r="B28" s="576"/>
      <c r="C28" s="577">
        <f>C9-C19</f>
        <v>0</v>
      </c>
      <c r="D28" s="577">
        <f t="shared" ref="D28:J28" si="17">D9-D19</f>
        <v>0</v>
      </c>
      <c r="E28" s="577">
        <f t="shared" si="17"/>
        <v>0</v>
      </c>
      <c r="F28" s="577">
        <f t="shared" si="17"/>
        <v>0</v>
      </c>
      <c r="G28" s="577">
        <f t="shared" si="17"/>
        <v>0</v>
      </c>
      <c r="H28" s="577">
        <f t="shared" si="17"/>
        <v>0</v>
      </c>
      <c r="I28" s="577">
        <f t="shared" ref="I28" si="18">I9-I19</f>
        <v>0</v>
      </c>
      <c r="J28" s="578">
        <f t="shared" si="17"/>
        <v>0</v>
      </c>
      <c r="K28" s="578">
        <f t="shared" ref="K28:K39" si="19">SUM(C28:J28)</f>
        <v>0</v>
      </c>
      <c r="L28" s="578"/>
      <c r="M28" s="578"/>
      <c r="N28" s="604"/>
      <c r="O28" s="579"/>
      <c r="P28" s="747"/>
    </row>
    <row r="29" spans="1:21" s="1" customFormat="1" x14ac:dyDescent="0.2">
      <c r="A29" s="194" t="s">
        <v>299</v>
      </c>
      <c r="B29" s="249"/>
      <c r="C29" s="239"/>
      <c r="D29" s="239"/>
      <c r="E29" s="239"/>
      <c r="F29" s="239"/>
      <c r="G29" s="239"/>
      <c r="H29" s="239"/>
      <c r="I29" s="239"/>
      <c r="J29" s="240"/>
      <c r="K29" s="241">
        <f t="shared" si="19"/>
        <v>0</v>
      </c>
      <c r="L29" s="241"/>
      <c r="M29" s="241"/>
      <c r="N29" s="605"/>
      <c r="O29" s="242"/>
      <c r="P29" s="106"/>
      <c r="Q29" s="10"/>
      <c r="R29" s="10"/>
      <c r="S29" s="10"/>
      <c r="T29" s="7"/>
      <c r="U29" s="7"/>
    </row>
    <row r="30" spans="1:21" s="1" customFormat="1" x14ac:dyDescent="0.2">
      <c r="A30" s="194" t="s">
        <v>300</v>
      </c>
      <c r="B30" s="249"/>
      <c r="C30" s="239"/>
      <c r="D30" s="239"/>
      <c r="E30" s="239"/>
      <c r="F30" s="239"/>
      <c r="G30" s="239"/>
      <c r="H30" s="239"/>
      <c r="I30" s="239"/>
      <c r="J30" s="240"/>
      <c r="K30" s="241">
        <f t="shared" si="19"/>
        <v>0</v>
      </c>
      <c r="L30" s="241"/>
      <c r="M30" s="241"/>
      <c r="N30" s="605"/>
      <c r="O30" s="242"/>
      <c r="P30" s="106"/>
      <c r="Q30" s="10"/>
      <c r="R30" s="10"/>
      <c r="S30" s="10"/>
      <c r="T30" s="7"/>
      <c r="U30" s="7"/>
    </row>
    <row r="31" spans="1:21" s="569" customFormat="1" ht="18" x14ac:dyDescent="0.2">
      <c r="A31" s="575" t="s">
        <v>84</v>
      </c>
      <c r="B31" s="576"/>
      <c r="C31" s="577">
        <f>C28-SUM(C29:C30)</f>
        <v>0</v>
      </c>
      <c r="D31" s="577">
        <f t="shared" ref="D31:J31" si="20">D28-SUM(D29:D30)</f>
        <v>0</v>
      </c>
      <c r="E31" s="577">
        <f t="shared" si="20"/>
        <v>0</v>
      </c>
      <c r="F31" s="577">
        <f t="shared" si="20"/>
        <v>0</v>
      </c>
      <c r="G31" s="577">
        <f t="shared" si="20"/>
        <v>0</v>
      </c>
      <c r="H31" s="577">
        <f t="shared" si="20"/>
        <v>0</v>
      </c>
      <c r="I31" s="577">
        <f t="shared" si="20"/>
        <v>0</v>
      </c>
      <c r="J31" s="578">
        <f t="shared" si="20"/>
        <v>0</v>
      </c>
      <c r="K31" s="578">
        <f t="shared" si="19"/>
        <v>0</v>
      </c>
      <c r="L31" s="676"/>
      <c r="M31" s="676"/>
      <c r="N31" s="606"/>
      <c r="O31" s="591"/>
      <c r="P31" s="747"/>
    </row>
    <row r="32" spans="1:21" s="572" customFormat="1" ht="31.5" x14ac:dyDescent="0.2">
      <c r="A32" s="580" t="s">
        <v>85</v>
      </c>
      <c r="B32" s="250" t="s">
        <v>83</v>
      </c>
      <c r="C32" s="582">
        <f>IFERROR(SUM(C33:C42),"N/A")</f>
        <v>0</v>
      </c>
      <c r="D32" s="582">
        <f t="shared" ref="D32:J32" si="21">IFERROR(SUM(D33:D42),"N/A")</f>
        <v>0</v>
      </c>
      <c r="E32" s="582">
        <f t="shared" si="21"/>
        <v>0</v>
      </c>
      <c r="F32" s="582">
        <f t="shared" si="21"/>
        <v>0</v>
      </c>
      <c r="G32" s="582">
        <f t="shared" si="21"/>
        <v>0</v>
      </c>
      <c r="H32" s="582">
        <f t="shared" si="21"/>
        <v>0</v>
      </c>
      <c r="I32" s="582">
        <f t="shared" si="21"/>
        <v>0</v>
      </c>
      <c r="J32" s="583">
        <f t="shared" si="21"/>
        <v>0</v>
      </c>
      <c r="K32" s="584">
        <f t="shared" si="19"/>
        <v>0</v>
      </c>
      <c r="L32" s="677"/>
      <c r="M32" s="677"/>
      <c r="N32" s="606"/>
      <c r="O32" s="591"/>
      <c r="P32" s="747"/>
      <c r="Q32" s="585" t="str">
        <f>IF(SUM(Q33:Q39)=100%,"OK","!")</f>
        <v>!</v>
      </c>
      <c r="R32" s="585" t="str">
        <f t="shared" ref="R32:S32" si="22">IF(SUM(R33:R39)=100%,"OK","!")</f>
        <v>!</v>
      </c>
      <c r="S32" s="585" t="str">
        <f t="shared" si="22"/>
        <v>!</v>
      </c>
      <c r="T32" s="601"/>
    </row>
    <row r="33" spans="1:21" s="4" customFormat="1" x14ac:dyDescent="0.2">
      <c r="A33" s="194" t="s">
        <v>86</v>
      </c>
      <c r="B33" s="252"/>
      <c r="C33" s="239"/>
      <c r="D33" s="239"/>
      <c r="E33" s="239"/>
      <c r="F33" s="239"/>
      <c r="G33" s="239"/>
      <c r="H33" s="239"/>
      <c r="I33" s="239"/>
      <c r="J33" s="730"/>
      <c r="K33" s="241">
        <f t="shared" si="19"/>
        <v>0</v>
      </c>
      <c r="L33" s="241"/>
      <c r="M33" s="241"/>
      <c r="N33" s="605"/>
      <c r="O33" s="242"/>
      <c r="P33" s="106"/>
      <c r="Q33" s="10" t="str">
        <f t="shared" ref="Q33:Q39" si="23">IFERROR(C33/$C$32,"N/A")</f>
        <v>N/A</v>
      </c>
      <c r="R33" s="10" t="str">
        <f t="shared" ref="R33:R39" si="24">IFERROR(D33/$D$32,"N/A")</f>
        <v>N/A</v>
      </c>
      <c r="S33" s="10" t="str">
        <f t="shared" ref="S33:S39" si="25">IFERROR(J33/$J$32,"N/A")</f>
        <v>N/A</v>
      </c>
      <c r="T33" s="251"/>
      <c r="U33" s="228"/>
    </row>
    <row r="34" spans="1:21" s="1" customFormat="1" ht="31.5" x14ac:dyDescent="0.2">
      <c r="A34" s="195" t="s">
        <v>269</v>
      </c>
      <c r="B34" s="249"/>
      <c r="C34" s="239">
        <f>'Fonti di finanziamento'!E172</f>
        <v>0</v>
      </c>
      <c r="D34" s="239">
        <f>'Fonti di finanziamento'!F172</f>
        <v>0</v>
      </c>
      <c r="E34" s="239">
        <f>'Fonti di finanziamento'!G172</f>
        <v>0</v>
      </c>
      <c r="F34" s="239">
        <f>'Fonti di finanziamento'!H172</f>
        <v>0</v>
      </c>
      <c r="G34" s="239">
        <f>'Fonti di finanziamento'!I172</f>
        <v>0</v>
      </c>
      <c r="H34" s="239">
        <f>'Fonti di finanziamento'!J172</f>
        <v>0</v>
      </c>
      <c r="I34" s="239">
        <f>'Fonti di finanziamento'!K172</f>
        <v>0</v>
      </c>
      <c r="J34" s="240">
        <f>'Fonti di finanziamento'!L172</f>
        <v>0</v>
      </c>
      <c r="K34" s="241">
        <f t="shared" si="19"/>
        <v>0</v>
      </c>
      <c r="L34" s="241"/>
      <c r="M34" s="241"/>
      <c r="N34" s="605"/>
      <c r="O34" s="242"/>
      <c r="P34" s="106"/>
      <c r="Q34" s="10" t="str">
        <f t="shared" si="23"/>
        <v>N/A</v>
      </c>
      <c r="R34" s="10" t="str">
        <f t="shared" si="24"/>
        <v>N/A</v>
      </c>
      <c r="S34" s="10" t="str">
        <f t="shared" si="25"/>
        <v>N/A</v>
      </c>
      <c r="T34" s="7"/>
      <c r="U34" s="7"/>
    </row>
    <row r="35" spans="1:21" s="1" customFormat="1" x14ac:dyDescent="0.2">
      <c r="A35" s="194" t="s">
        <v>87</v>
      </c>
      <c r="B35" s="249"/>
      <c r="C35" s="239"/>
      <c r="D35" s="239"/>
      <c r="E35" s="239"/>
      <c r="F35" s="239"/>
      <c r="G35" s="239"/>
      <c r="H35" s="239"/>
      <c r="I35" s="239"/>
      <c r="J35" s="240"/>
      <c r="K35" s="241">
        <f t="shared" si="19"/>
        <v>0</v>
      </c>
      <c r="L35" s="241"/>
      <c r="M35" s="241"/>
      <c r="N35" s="605"/>
      <c r="O35" s="242"/>
      <c r="P35" s="106"/>
      <c r="Q35" s="10" t="str">
        <f t="shared" si="23"/>
        <v>N/A</v>
      </c>
      <c r="R35" s="10" t="str">
        <f t="shared" si="24"/>
        <v>N/A</v>
      </c>
      <c r="S35" s="10" t="str">
        <f t="shared" si="25"/>
        <v>N/A</v>
      </c>
      <c r="T35" s="7"/>
      <c r="U35" s="7"/>
    </row>
    <row r="36" spans="1:21" s="1" customFormat="1" x14ac:dyDescent="0.2">
      <c r="A36" s="194" t="s">
        <v>88</v>
      </c>
      <c r="B36" s="249"/>
      <c r="C36" s="239"/>
      <c r="D36" s="239"/>
      <c r="E36" s="239"/>
      <c r="F36" s="239"/>
      <c r="G36" s="239"/>
      <c r="H36" s="239"/>
      <c r="I36" s="239"/>
      <c r="J36" s="240"/>
      <c r="K36" s="241">
        <f t="shared" si="19"/>
        <v>0</v>
      </c>
      <c r="L36" s="241"/>
      <c r="M36" s="241"/>
      <c r="N36" s="605"/>
      <c r="O36" s="242"/>
      <c r="P36" s="106"/>
      <c r="Q36" s="10" t="str">
        <f t="shared" si="23"/>
        <v>N/A</v>
      </c>
      <c r="R36" s="10" t="str">
        <f t="shared" si="24"/>
        <v>N/A</v>
      </c>
      <c r="S36" s="10" t="str">
        <f t="shared" si="25"/>
        <v>N/A</v>
      </c>
      <c r="T36" s="7"/>
      <c r="U36" s="7"/>
    </row>
    <row r="37" spans="1:21" s="1" customFormat="1" x14ac:dyDescent="0.2">
      <c r="A37" s="194" t="s">
        <v>89</v>
      </c>
      <c r="B37" s="249"/>
      <c r="C37" s="239"/>
      <c r="D37" s="239"/>
      <c r="E37" s="239"/>
      <c r="F37" s="239"/>
      <c r="G37" s="239"/>
      <c r="H37" s="239"/>
      <c r="I37" s="239"/>
      <c r="J37" s="240"/>
      <c r="K37" s="241">
        <f t="shared" si="19"/>
        <v>0</v>
      </c>
      <c r="L37" s="241"/>
      <c r="M37" s="241"/>
      <c r="N37" s="605"/>
      <c r="O37" s="242"/>
      <c r="P37" s="106"/>
      <c r="Q37" s="10" t="str">
        <f t="shared" si="23"/>
        <v>N/A</v>
      </c>
      <c r="R37" s="10" t="str">
        <f t="shared" si="24"/>
        <v>N/A</v>
      </c>
      <c r="S37" s="10" t="str">
        <f t="shared" si="25"/>
        <v>N/A</v>
      </c>
      <c r="T37" s="7"/>
      <c r="U37" s="7"/>
    </row>
    <row r="38" spans="1:21" s="1" customFormat="1" x14ac:dyDescent="0.2">
      <c r="A38" s="194" t="s">
        <v>90</v>
      </c>
      <c r="B38" s="249"/>
      <c r="C38" s="239"/>
      <c r="D38" s="239"/>
      <c r="E38" s="239"/>
      <c r="F38" s="239"/>
      <c r="G38" s="239"/>
      <c r="H38" s="239"/>
      <c r="I38" s="239"/>
      <c r="J38" s="240"/>
      <c r="K38" s="241">
        <f t="shared" si="19"/>
        <v>0</v>
      </c>
      <c r="L38" s="241"/>
      <c r="M38" s="241"/>
      <c r="N38" s="605"/>
      <c r="O38" s="242"/>
      <c r="P38" s="106"/>
      <c r="Q38" s="10" t="str">
        <f t="shared" si="23"/>
        <v>N/A</v>
      </c>
      <c r="R38" s="10" t="str">
        <f t="shared" si="24"/>
        <v>N/A</v>
      </c>
      <c r="S38" s="10" t="str">
        <f t="shared" si="25"/>
        <v>N/A</v>
      </c>
      <c r="T38" s="7"/>
      <c r="U38" s="7"/>
    </row>
    <row r="39" spans="1:21" s="1" customFormat="1" x14ac:dyDescent="0.2">
      <c r="A39" s="194" t="s">
        <v>91</v>
      </c>
      <c r="B39" s="249"/>
      <c r="C39" s="239"/>
      <c r="D39" s="239"/>
      <c r="E39" s="239"/>
      <c r="F39" s="239"/>
      <c r="G39" s="239"/>
      <c r="H39" s="239"/>
      <c r="I39" s="239"/>
      <c r="J39" s="240"/>
      <c r="K39" s="241">
        <f t="shared" si="19"/>
        <v>0</v>
      </c>
      <c r="L39" s="241"/>
      <c r="M39" s="241"/>
      <c r="N39" s="605"/>
      <c r="O39" s="242"/>
      <c r="P39" s="106"/>
      <c r="Q39" s="10" t="str">
        <f t="shared" si="23"/>
        <v>N/A</v>
      </c>
      <c r="R39" s="10" t="str">
        <f t="shared" si="24"/>
        <v>N/A</v>
      </c>
      <c r="S39" s="10" t="str">
        <f t="shared" si="25"/>
        <v>N/A</v>
      </c>
      <c r="T39" s="7"/>
      <c r="U39" s="7"/>
    </row>
    <row r="40" spans="1:21" s="1" customFormat="1" x14ac:dyDescent="0.2">
      <c r="A40" s="194"/>
      <c r="B40" s="249"/>
      <c r="C40" s="239"/>
      <c r="D40" s="239"/>
      <c r="E40" s="239"/>
      <c r="F40" s="239"/>
      <c r="G40" s="239"/>
      <c r="H40" s="239"/>
      <c r="I40" s="239"/>
      <c r="J40" s="240"/>
      <c r="K40" s="241"/>
      <c r="L40" s="241"/>
      <c r="M40" s="241"/>
      <c r="N40" s="605"/>
      <c r="O40" s="242"/>
      <c r="P40" s="106"/>
      <c r="Q40" s="10"/>
      <c r="R40" s="10"/>
      <c r="S40" s="10"/>
      <c r="T40" s="7"/>
      <c r="U40" s="7"/>
    </row>
    <row r="41" spans="1:21" s="1" customFormat="1" x14ac:dyDescent="0.2">
      <c r="A41" s="194"/>
      <c r="B41" s="249"/>
      <c r="C41" s="239"/>
      <c r="D41" s="239"/>
      <c r="E41" s="239"/>
      <c r="F41" s="239"/>
      <c r="G41" s="239"/>
      <c r="H41" s="239"/>
      <c r="I41" s="239"/>
      <c r="J41" s="240"/>
      <c r="K41" s="241"/>
      <c r="L41" s="241"/>
      <c r="M41" s="241"/>
      <c r="N41" s="605"/>
      <c r="O41" s="242"/>
      <c r="P41" s="106"/>
      <c r="Q41" s="10"/>
      <c r="R41" s="10"/>
      <c r="S41" s="10"/>
      <c r="T41" s="7"/>
      <c r="U41" s="7"/>
    </row>
    <row r="42" spans="1:21" s="1" customFormat="1" x14ac:dyDescent="0.2">
      <c r="A42" s="194"/>
      <c r="B42" s="249"/>
      <c r="C42" s="239"/>
      <c r="D42" s="239"/>
      <c r="E42" s="239"/>
      <c r="F42" s="239"/>
      <c r="G42" s="239"/>
      <c r="H42" s="239"/>
      <c r="I42" s="239"/>
      <c r="J42" s="240"/>
      <c r="K42" s="241"/>
      <c r="L42" s="241"/>
      <c r="M42" s="241"/>
      <c r="N42" s="605"/>
      <c r="O42" s="242"/>
      <c r="P42" s="106"/>
      <c r="Q42" s="10"/>
      <c r="R42" s="10"/>
      <c r="S42" s="10"/>
      <c r="T42" s="7"/>
      <c r="U42" s="7"/>
    </row>
    <row r="43" spans="1:21" s="569" customFormat="1" ht="18" x14ac:dyDescent="0.2">
      <c r="A43" s="575" t="s">
        <v>312</v>
      </c>
      <c r="B43" s="576"/>
      <c r="C43" s="577">
        <f>C31-C32</f>
        <v>0</v>
      </c>
      <c r="D43" s="577">
        <f t="shared" ref="D43:J43" si="26">D31-D32</f>
        <v>0</v>
      </c>
      <c r="E43" s="577">
        <f t="shared" si="26"/>
        <v>0</v>
      </c>
      <c r="F43" s="577">
        <f t="shared" si="26"/>
        <v>0</v>
      </c>
      <c r="G43" s="577">
        <f t="shared" si="26"/>
        <v>0</v>
      </c>
      <c r="H43" s="577">
        <f t="shared" si="26"/>
        <v>0</v>
      </c>
      <c r="I43" s="577">
        <f t="shared" si="26"/>
        <v>0</v>
      </c>
      <c r="J43" s="578">
        <f t="shared" si="26"/>
        <v>0</v>
      </c>
      <c r="K43" s="578">
        <f>SUM(C43:J43)</f>
        <v>0</v>
      </c>
      <c r="L43" s="676"/>
      <c r="M43" s="676"/>
      <c r="N43" s="606"/>
      <c r="O43" s="591"/>
      <c r="P43" s="747"/>
    </row>
    <row r="44" spans="1:21" s="1" customFormat="1" x14ac:dyDescent="0.2">
      <c r="A44" s="253" t="s">
        <v>92</v>
      </c>
      <c r="B44" s="246"/>
      <c r="C44" s="254">
        <f>'Fonti di finanziamento'!E171</f>
        <v>0</v>
      </c>
      <c r="D44" s="254">
        <f>'Fonti di finanziamento'!F171</f>
        <v>0</v>
      </c>
      <c r="E44" s="254">
        <f>'Fonti di finanziamento'!G171</f>
        <v>0</v>
      </c>
      <c r="F44" s="254">
        <f>'Fonti di finanziamento'!H171</f>
        <v>0</v>
      </c>
      <c r="G44" s="254">
        <f>'Fonti di finanziamento'!I171</f>
        <v>0</v>
      </c>
      <c r="H44" s="254">
        <f>'Fonti di finanziamento'!J171</f>
        <v>0</v>
      </c>
      <c r="I44" s="254">
        <f>'Fonti di finanziamento'!K171</f>
        <v>0</v>
      </c>
      <c r="J44" s="254">
        <f>'Fonti di finanziamento'!L171</f>
        <v>0</v>
      </c>
      <c r="K44" s="255">
        <f>SUM(C44:J44)</f>
        <v>0</v>
      </c>
      <c r="L44" s="241"/>
      <c r="M44" s="241"/>
      <c r="N44" s="605"/>
      <c r="O44" s="242"/>
      <c r="P44" s="106"/>
      <c r="Q44" s="7"/>
      <c r="R44" s="7"/>
      <c r="S44" s="7"/>
      <c r="T44" s="7"/>
      <c r="U44" s="7"/>
    </row>
    <row r="45" spans="1:21" s="569" customFormat="1" ht="18" x14ac:dyDescent="0.2">
      <c r="A45" s="575" t="s">
        <v>313</v>
      </c>
      <c r="B45" s="576"/>
      <c r="C45" s="577">
        <f>C43-C44</f>
        <v>0</v>
      </c>
      <c r="D45" s="577">
        <f t="shared" ref="D45:J45" si="27">D43-D44</f>
        <v>0</v>
      </c>
      <c r="E45" s="577">
        <f t="shared" si="27"/>
        <v>0</v>
      </c>
      <c r="F45" s="577">
        <f t="shared" si="27"/>
        <v>0</v>
      </c>
      <c r="G45" s="577">
        <f t="shared" si="27"/>
        <v>0</v>
      </c>
      <c r="H45" s="577">
        <f t="shared" si="27"/>
        <v>0</v>
      </c>
      <c r="I45" s="577">
        <f t="shared" ref="I45" si="28">I43-I44</f>
        <v>0</v>
      </c>
      <c r="J45" s="578">
        <f t="shared" si="27"/>
        <v>0</v>
      </c>
      <c r="K45" s="578">
        <f>SUM(C45:J45)</f>
        <v>0</v>
      </c>
      <c r="L45" s="676"/>
      <c r="M45" s="676"/>
      <c r="N45" s="606"/>
      <c r="O45" s="591"/>
      <c r="P45" s="747"/>
    </row>
    <row r="46" spans="1:21" s="1" customFormat="1" x14ac:dyDescent="0.2">
      <c r="A46" s="253" t="s">
        <v>270</v>
      </c>
      <c r="B46" s="246"/>
      <c r="C46" s="247">
        <f>'Fonti di finanziamento'!E173</f>
        <v>0</v>
      </c>
      <c r="D46" s="247">
        <f>'Fonti di finanziamento'!F173</f>
        <v>0</v>
      </c>
      <c r="E46" s="247">
        <f>'Fonti di finanziamento'!G173</f>
        <v>0</v>
      </c>
      <c r="F46" s="247">
        <f>'Fonti di finanziamento'!H173</f>
        <v>0</v>
      </c>
      <c r="G46" s="247">
        <f>'Fonti di finanziamento'!I173</f>
        <v>0</v>
      </c>
      <c r="H46" s="247">
        <f>'Fonti di finanziamento'!J173</f>
        <v>0</v>
      </c>
      <c r="I46" s="247">
        <f>'Fonti di finanziamento'!K173</f>
        <v>0</v>
      </c>
      <c r="J46" s="247">
        <f>'Fonti di finanziamento'!L173</f>
        <v>0</v>
      </c>
      <c r="K46" s="241">
        <f>SUM(C46:J46)</f>
        <v>0</v>
      </c>
      <c r="L46" s="241"/>
      <c r="M46" s="241"/>
      <c r="N46" s="605"/>
      <c r="O46" s="242"/>
      <c r="P46" s="106"/>
      <c r="Q46" s="7"/>
      <c r="R46" s="7"/>
      <c r="S46" s="7"/>
      <c r="T46" s="7"/>
      <c r="U46" s="7"/>
    </row>
    <row r="47" spans="1:21" s="1" customFormat="1" x14ac:dyDescent="0.2">
      <c r="A47" s="253" t="s">
        <v>93</v>
      </c>
      <c r="B47" s="246"/>
      <c r="C47" s="256">
        <v>0</v>
      </c>
      <c r="D47" s="256">
        <v>0</v>
      </c>
      <c r="E47" s="256">
        <v>0</v>
      </c>
      <c r="F47" s="256">
        <v>0</v>
      </c>
      <c r="G47" s="256">
        <v>0</v>
      </c>
      <c r="H47" s="256">
        <v>0</v>
      </c>
      <c r="I47" s="256">
        <v>0</v>
      </c>
      <c r="J47" s="248">
        <v>0</v>
      </c>
      <c r="K47" s="241">
        <f>SUM(C47:J47)</f>
        <v>0</v>
      </c>
      <c r="L47" s="241"/>
      <c r="M47" s="241"/>
      <c r="N47" s="605"/>
      <c r="O47" s="242"/>
      <c r="P47" s="106"/>
      <c r="Q47" s="7"/>
      <c r="R47" s="7"/>
      <c r="S47" s="7"/>
      <c r="T47" s="7"/>
      <c r="U47" s="7"/>
    </row>
    <row r="48" spans="1:21" s="1" customFormat="1" x14ac:dyDescent="0.2">
      <c r="A48" s="253" t="s">
        <v>94</v>
      </c>
      <c r="B48" s="246"/>
      <c r="C48" s="245"/>
      <c r="D48" s="245">
        <v>0</v>
      </c>
      <c r="E48" s="245">
        <v>0</v>
      </c>
      <c r="F48" s="245">
        <v>0</v>
      </c>
      <c r="G48" s="245">
        <v>0</v>
      </c>
      <c r="H48" s="245">
        <v>0</v>
      </c>
      <c r="I48" s="245">
        <v>0</v>
      </c>
      <c r="J48" s="240">
        <v>0</v>
      </c>
      <c r="K48" s="241"/>
      <c r="L48" s="241"/>
      <c r="M48" s="241"/>
      <c r="N48" s="605"/>
      <c r="O48" s="242"/>
      <c r="P48" s="106"/>
      <c r="Q48" s="7"/>
      <c r="R48" s="7"/>
      <c r="S48" s="7"/>
      <c r="T48" s="7"/>
      <c r="U48" s="7"/>
    </row>
    <row r="49" spans="1:23" s="1" customFormat="1" x14ac:dyDescent="0.2">
      <c r="A49" s="257" t="s">
        <v>95</v>
      </c>
      <c r="B49" s="246"/>
      <c r="C49" s="245"/>
      <c r="D49" s="245">
        <v>0</v>
      </c>
      <c r="E49" s="245">
        <v>0</v>
      </c>
      <c r="F49" s="245">
        <v>0</v>
      </c>
      <c r="G49" s="245">
        <v>0</v>
      </c>
      <c r="H49" s="245">
        <v>0</v>
      </c>
      <c r="I49" s="245">
        <v>0</v>
      </c>
      <c r="J49" s="240">
        <v>0</v>
      </c>
      <c r="K49" s="241">
        <f>SUM(C49:J49)</f>
        <v>0</v>
      </c>
      <c r="L49" s="241"/>
      <c r="M49" s="241"/>
      <c r="N49" s="605"/>
      <c r="O49" s="242"/>
      <c r="P49" s="106"/>
      <c r="Q49" s="7"/>
      <c r="R49" s="7"/>
      <c r="S49" s="7"/>
      <c r="T49" s="7"/>
      <c r="U49" s="7"/>
    </row>
    <row r="50" spans="1:23" s="569" customFormat="1" ht="18" x14ac:dyDescent="0.2">
      <c r="A50" s="575" t="s">
        <v>314</v>
      </c>
      <c r="B50" s="576"/>
      <c r="C50" s="577">
        <f>C45-C46+C47+C49-C48</f>
        <v>0</v>
      </c>
      <c r="D50" s="577">
        <f t="shared" ref="D50:J50" si="29">D45-D46+D47+D49-D48</f>
        <v>0</v>
      </c>
      <c r="E50" s="577">
        <f t="shared" si="29"/>
        <v>0</v>
      </c>
      <c r="F50" s="577">
        <f t="shared" si="29"/>
        <v>0</v>
      </c>
      <c r="G50" s="577">
        <f t="shared" si="29"/>
        <v>0</v>
      </c>
      <c r="H50" s="577">
        <f t="shared" si="29"/>
        <v>0</v>
      </c>
      <c r="I50" s="577">
        <f t="shared" si="29"/>
        <v>0</v>
      </c>
      <c r="J50" s="577">
        <f t="shared" si="29"/>
        <v>0</v>
      </c>
      <c r="K50" s="578">
        <f>SUM(C50:J50)</f>
        <v>0</v>
      </c>
      <c r="L50" s="676"/>
      <c r="M50" s="676"/>
      <c r="N50" s="606"/>
      <c r="O50" s="591"/>
      <c r="P50" s="747"/>
    </row>
    <row r="51" spans="1:23" s="1" customFormat="1" x14ac:dyDescent="0.2">
      <c r="A51" s="253" t="s">
        <v>80</v>
      </c>
      <c r="B51" s="246"/>
      <c r="C51" s="239"/>
      <c r="D51" s="239"/>
      <c r="E51" s="239"/>
      <c r="F51" s="239"/>
      <c r="G51" s="239"/>
      <c r="H51" s="239"/>
      <c r="I51" s="239"/>
      <c r="J51" s="240"/>
      <c r="K51" s="241">
        <f>SUM(C51:J51)</f>
        <v>0</v>
      </c>
      <c r="L51" s="241"/>
      <c r="M51" s="241"/>
      <c r="N51" s="605"/>
      <c r="O51" s="242"/>
      <c r="P51" s="106"/>
      <c r="Q51" s="7"/>
      <c r="R51" s="7"/>
      <c r="S51" s="7"/>
      <c r="T51" s="7"/>
      <c r="U51" s="7"/>
    </row>
    <row r="52" spans="1:23" s="569" customFormat="1" ht="18" x14ac:dyDescent="0.2">
      <c r="A52" s="592" t="s">
        <v>67</v>
      </c>
      <c r="B52" s="593"/>
      <c r="C52" s="594">
        <f>C50-C51</f>
        <v>0</v>
      </c>
      <c r="D52" s="594">
        <f t="shared" ref="D52:J52" si="30">D50-D51</f>
        <v>0</v>
      </c>
      <c r="E52" s="594">
        <f t="shared" si="30"/>
        <v>0</v>
      </c>
      <c r="F52" s="594">
        <f t="shared" si="30"/>
        <v>0</v>
      </c>
      <c r="G52" s="594">
        <f t="shared" si="30"/>
        <v>0</v>
      </c>
      <c r="H52" s="594">
        <f t="shared" si="30"/>
        <v>0</v>
      </c>
      <c r="I52" s="594">
        <f t="shared" ref="I52" si="31">I50-I51</f>
        <v>0</v>
      </c>
      <c r="J52" s="595">
        <f t="shared" si="30"/>
        <v>0</v>
      </c>
      <c r="K52" s="578">
        <f>SUM(C52:J52)</f>
        <v>0</v>
      </c>
      <c r="L52" s="676"/>
      <c r="M52" s="676"/>
      <c r="N52" s="606"/>
      <c r="O52" s="591"/>
      <c r="P52" s="747"/>
    </row>
    <row r="53" spans="1:23" s="600" customFormat="1" ht="18.75" thickBot="1" x14ac:dyDescent="0.25">
      <c r="A53" s="596" t="s">
        <v>96</v>
      </c>
      <c r="B53" s="597"/>
      <c r="C53" s="598">
        <f>C52</f>
        <v>0</v>
      </c>
      <c r="D53" s="598">
        <f t="shared" ref="D53:I53" si="32">C53+D52</f>
        <v>0</v>
      </c>
      <c r="E53" s="598">
        <f t="shared" si="32"/>
        <v>0</v>
      </c>
      <c r="F53" s="598">
        <f t="shared" si="32"/>
        <v>0</v>
      </c>
      <c r="G53" s="598">
        <f t="shared" si="32"/>
        <v>0</v>
      </c>
      <c r="H53" s="598">
        <f t="shared" si="32"/>
        <v>0</v>
      </c>
      <c r="I53" s="598">
        <f t="shared" si="32"/>
        <v>0</v>
      </c>
      <c r="J53" s="599">
        <f>H53+J52</f>
        <v>0</v>
      </c>
      <c r="K53" s="578"/>
      <c r="L53" s="676"/>
      <c r="M53" s="676"/>
      <c r="N53" s="606"/>
      <c r="O53" s="591"/>
      <c r="P53" s="747"/>
      <c r="W53" s="569"/>
    </row>
    <row r="54" spans="1:23" s="1" customFormat="1" ht="17.25" thickTop="1" x14ac:dyDescent="0.2">
      <c r="A54" s="253"/>
      <c r="B54" s="253"/>
      <c r="C54" s="254"/>
      <c r="D54" s="254"/>
      <c r="E54" s="254"/>
      <c r="F54" s="254"/>
      <c r="G54" s="254"/>
      <c r="H54" s="254"/>
      <c r="I54" s="256"/>
      <c r="J54" s="7"/>
      <c r="K54" s="7"/>
      <c r="L54" s="103"/>
      <c r="M54" s="228"/>
      <c r="N54" s="7"/>
      <c r="O54" s="7"/>
      <c r="P54" s="7"/>
      <c r="Q54" s="7"/>
      <c r="R54" s="7"/>
      <c r="S54" s="7"/>
    </row>
    <row r="55" spans="1:23" s="3" customFormat="1" hidden="1" x14ac:dyDescent="0.3">
      <c r="A55" s="258" t="s">
        <v>81</v>
      </c>
      <c r="B55" s="259" t="s">
        <v>97</v>
      </c>
      <c r="C55" s="259"/>
      <c r="D55" s="259"/>
      <c r="E55" s="259"/>
      <c r="F55" s="259"/>
      <c r="G55" s="259"/>
      <c r="H55" s="259"/>
      <c r="I55" s="259"/>
      <c r="J55" s="259"/>
      <c r="K55" s="11"/>
      <c r="L55" s="607"/>
      <c r="M55" s="11"/>
      <c r="N55" s="8"/>
      <c r="O55" s="11"/>
      <c r="P55" s="11"/>
      <c r="Q55" s="11"/>
      <c r="R55" s="11"/>
      <c r="S55" s="11"/>
    </row>
    <row r="56" spans="1:23" s="3" customFormat="1" hidden="1" x14ac:dyDescent="0.3">
      <c r="A56" s="11" t="s">
        <v>271</v>
      </c>
      <c r="B56" s="260">
        <v>0</v>
      </c>
      <c r="C56" s="261">
        <f>(C9+C9*$B$56)</f>
        <v>0</v>
      </c>
      <c r="D56" s="261">
        <f t="shared" ref="D56:J56" si="33">(D9+D9*$B$56)</f>
        <v>0</v>
      </c>
      <c r="E56" s="261">
        <f t="shared" si="33"/>
        <v>0</v>
      </c>
      <c r="F56" s="261">
        <f t="shared" si="33"/>
        <v>0</v>
      </c>
      <c r="G56" s="261">
        <f t="shared" si="33"/>
        <v>0</v>
      </c>
      <c r="H56" s="261">
        <f t="shared" si="33"/>
        <v>0</v>
      </c>
      <c r="I56" s="261">
        <f t="shared" si="33"/>
        <v>0</v>
      </c>
      <c r="J56" s="261">
        <f t="shared" si="33"/>
        <v>0</v>
      </c>
      <c r="K56" s="11"/>
      <c r="L56" s="607"/>
      <c r="M56" s="11"/>
      <c r="N56" s="8"/>
      <c r="O56" s="11"/>
      <c r="P56" s="11"/>
      <c r="Q56" s="11"/>
      <c r="R56" s="11"/>
      <c r="S56" s="11"/>
    </row>
    <row r="57" spans="1:23" s="3" customFormat="1" hidden="1" x14ac:dyDescent="0.3">
      <c r="A57" s="11" t="s">
        <v>98</v>
      </c>
      <c r="B57" s="260">
        <v>0</v>
      </c>
      <c r="C57" s="261">
        <f t="shared" ref="C57:J57" si="34">C19+C19*$B$57</f>
        <v>0</v>
      </c>
      <c r="D57" s="261">
        <f t="shared" si="34"/>
        <v>0</v>
      </c>
      <c r="E57" s="261">
        <f t="shared" si="34"/>
        <v>0</v>
      </c>
      <c r="F57" s="261">
        <f t="shared" si="34"/>
        <v>0</v>
      </c>
      <c r="G57" s="261">
        <f t="shared" si="34"/>
        <v>0</v>
      </c>
      <c r="H57" s="261">
        <f t="shared" si="34"/>
        <v>0</v>
      </c>
      <c r="I57" s="261">
        <f t="shared" si="34"/>
        <v>0</v>
      </c>
      <c r="J57" s="261">
        <f t="shared" si="34"/>
        <v>0</v>
      </c>
      <c r="K57" s="11"/>
      <c r="L57" s="607"/>
      <c r="M57" s="11"/>
      <c r="N57" s="8"/>
      <c r="O57" s="11"/>
      <c r="P57" s="11"/>
      <c r="Q57" s="11"/>
      <c r="R57" s="11"/>
      <c r="S57" s="11"/>
    </row>
    <row r="58" spans="1:23" s="3" customFormat="1" hidden="1" x14ac:dyDescent="0.3">
      <c r="A58" s="11" t="s">
        <v>99</v>
      </c>
      <c r="B58" s="260">
        <v>0</v>
      </c>
      <c r="C58" s="261">
        <f t="shared" ref="C58:J58" si="35">C29+C29*$B$58</f>
        <v>0</v>
      </c>
      <c r="D58" s="261">
        <f t="shared" si="35"/>
        <v>0</v>
      </c>
      <c r="E58" s="261">
        <f t="shared" si="35"/>
        <v>0</v>
      </c>
      <c r="F58" s="261">
        <f t="shared" si="35"/>
        <v>0</v>
      </c>
      <c r="G58" s="261">
        <f t="shared" si="35"/>
        <v>0</v>
      </c>
      <c r="H58" s="261">
        <f t="shared" si="35"/>
        <v>0</v>
      </c>
      <c r="I58" s="261">
        <f t="shared" si="35"/>
        <v>0</v>
      </c>
      <c r="J58" s="261">
        <f t="shared" si="35"/>
        <v>0</v>
      </c>
      <c r="K58" s="11"/>
      <c r="L58" s="607"/>
      <c r="M58" s="11"/>
      <c r="N58" s="8"/>
      <c r="O58" s="11"/>
      <c r="P58" s="11"/>
      <c r="Q58" s="11"/>
      <c r="R58" s="11"/>
      <c r="S58" s="11"/>
    </row>
    <row r="59" spans="1:23" s="3" customFormat="1" hidden="1" x14ac:dyDescent="0.3">
      <c r="A59" s="11" t="s">
        <v>100</v>
      </c>
      <c r="B59" s="260">
        <v>0</v>
      </c>
      <c r="C59" s="261">
        <f>C32+C32*$B$59</f>
        <v>0</v>
      </c>
      <c r="D59" s="261">
        <f t="shared" ref="D59:J59" si="36">D32+D32*$B$59</f>
        <v>0</v>
      </c>
      <c r="E59" s="261">
        <f t="shared" si="36"/>
        <v>0</v>
      </c>
      <c r="F59" s="261">
        <f t="shared" si="36"/>
        <v>0</v>
      </c>
      <c r="G59" s="261">
        <f t="shared" si="36"/>
        <v>0</v>
      </c>
      <c r="H59" s="261">
        <f t="shared" si="36"/>
        <v>0</v>
      </c>
      <c r="I59" s="261">
        <f t="shared" si="36"/>
        <v>0</v>
      </c>
      <c r="J59" s="261">
        <f t="shared" si="36"/>
        <v>0</v>
      </c>
      <c r="K59" s="11"/>
      <c r="L59" s="607"/>
      <c r="M59" s="11"/>
      <c r="N59" s="8"/>
      <c r="O59" s="11"/>
      <c r="P59" s="11"/>
      <c r="Q59" s="11"/>
      <c r="R59" s="11"/>
      <c r="S59" s="11"/>
    </row>
    <row r="60" spans="1:23" s="3" customFormat="1" ht="17.25" hidden="1" thickBot="1" x14ac:dyDescent="0.35">
      <c r="A60" s="262" t="s">
        <v>67</v>
      </c>
      <c r="B60" s="263"/>
      <c r="C60" s="264">
        <f>C56-C57-C58-C59-C44-C46+C47-C48+C49-C51</f>
        <v>0</v>
      </c>
      <c r="D60" s="264">
        <f t="shared" ref="D60:J60" si="37">D56-D57-D58-D59-D44-D46+D47-D48+D49-D51</f>
        <v>0</v>
      </c>
      <c r="E60" s="264">
        <f t="shared" si="37"/>
        <v>0</v>
      </c>
      <c r="F60" s="264">
        <f t="shared" si="37"/>
        <v>0</v>
      </c>
      <c r="G60" s="264">
        <f t="shared" si="37"/>
        <v>0</v>
      </c>
      <c r="H60" s="264">
        <f t="shared" si="37"/>
        <v>0</v>
      </c>
      <c r="I60" s="264">
        <f t="shared" ref="I60" si="38">I56-I57-I58-I59-I44-I46+I47-I48+I49-I51</f>
        <v>0</v>
      </c>
      <c r="J60" s="264">
        <f t="shared" si="37"/>
        <v>0</v>
      </c>
      <c r="K60" s="11"/>
      <c r="L60" s="607"/>
      <c r="M60" s="11"/>
      <c r="N60" s="8"/>
      <c r="O60" s="11"/>
      <c r="P60" s="11"/>
      <c r="Q60" s="11"/>
      <c r="R60" s="11"/>
      <c r="S60" s="11"/>
    </row>
    <row r="61" spans="1:23" ht="17.25" hidden="1" thickTop="1" x14ac:dyDescent="0.3">
      <c r="A61" s="5"/>
      <c r="B61" s="5"/>
      <c r="C61" s="5"/>
      <c r="D61" s="5"/>
      <c r="E61" s="5"/>
      <c r="F61" s="5"/>
      <c r="G61" s="5"/>
      <c r="H61" s="5"/>
      <c r="I61" s="5"/>
      <c r="J61" s="5"/>
      <c r="K61" s="5"/>
      <c r="L61" s="332"/>
      <c r="M61" s="5"/>
      <c r="N61" s="5"/>
      <c r="O61" s="5"/>
      <c r="P61" s="5"/>
      <c r="Q61" s="5"/>
      <c r="R61" s="5"/>
      <c r="S61" s="5"/>
    </row>
  </sheetData>
  <sheetProtection sheet="1" objects="1" scenarios="1"/>
  <mergeCells count="1">
    <mergeCell ref="A4:S4"/>
  </mergeCells>
  <pageMargins left="0.7" right="0.7" top="0.78740157499999996" bottom="0.78740157499999996" header="0.3" footer="0.3"/>
  <pageSetup paperSize="9" scale="41" orientation="landscape" r:id="rId1"/>
  <ignoredErrors>
    <ignoredError sqref="Q9:S50 C56:J60"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DC173"/>
  <sheetViews>
    <sheetView showGridLines="0" zoomScale="85" zoomScaleNormal="85" zoomScaleSheetLayoutView="85" zoomScalePageLayoutView="10" workbookViewId="0">
      <selection activeCell="C137" sqref="C137:C143"/>
    </sheetView>
  </sheetViews>
  <sheetFormatPr baseColWidth="10" defaultColWidth="11" defaultRowHeight="15.75" outlineLevelRow="1" outlineLevelCol="1" x14ac:dyDescent="0.25"/>
  <cols>
    <col min="1" max="1" width="36.375" style="5" customWidth="1"/>
    <col min="2" max="2" width="36.25" style="5" customWidth="1"/>
    <col min="3" max="3" width="11.5" style="5" customWidth="1"/>
    <col min="4" max="4" width="13.375" style="5" customWidth="1"/>
    <col min="5" max="5" width="12.875" style="5" customWidth="1"/>
    <col min="6" max="10" width="12.875" style="5" customWidth="1" outlineLevel="1"/>
    <col min="11" max="11" width="12.875" style="5" customWidth="1"/>
    <col min="12" max="13" width="13.5" style="5" customWidth="1"/>
    <col min="14" max="14" width="12.875" style="5" customWidth="1"/>
    <col min="15" max="15" width="15.625" style="5" customWidth="1"/>
    <col min="16" max="16384" width="11" style="5"/>
  </cols>
  <sheetData>
    <row r="1" spans="1:107" s="90" customFormat="1" ht="20.25" x14ac:dyDescent="0.25">
      <c r="A1" s="220" t="s">
        <v>379</v>
      </c>
      <c r="B1" s="88"/>
      <c r="C1" s="88"/>
      <c r="D1" s="88"/>
      <c r="E1" s="88"/>
      <c r="F1" s="88"/>
      <c r="G1" s="88"/>
      <c r="H1" s="88"/>
      <c r="I1" s="88"/>
      <c r="J1" s="88"/>
      <c r="K1" s="88"/>
      <c r="L1" s="88"/>
      <c r="M1" s="88"/>
      <c r="N1" s="88"/>
      <c r="O1" s="88"/>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row>
    <row r="2" spans="1:107" s="226" customFormat="1" x14ac:dyDescent="0.25">
      <c r="A2" s="222" t="s">
        <v>16</v>
      </c>
      <c r="B2" s="223" t="str">
        <f>IF('Panoramica SP'!B2=0,"",'Panoramica SP'!B2)</f>
        <v/>
      </c>
      <c r="C2" s="267"/>
      <c r="E2" s="222" t="s">
        <v>15</v>
      </c>
      <c r="F2" s="225"/>
      <c r="G2" s="267"/>
      <c r="H2" s="267"/>
      <c r="I2" s="267"/>
      <c r="J2" s="267"/>
      <c r="K2" s="267"/>
      <c r="N2" s="5"/>
      <c r="O2" s="5"/>
      <c r="P2" s="5"/>
      <c r="Q2" s="5"/>
      <c r="R2" s="5"/>
      <c r="S2" s="5"/>
      <c r="T2" s="5"/>
      <c r="U2" s="5"/>
      <c r="V2" s="5"/>
      <c r="W2" s="5"/>
      <c r="X2" s="5"/>
      <c r="Y2" s="5"/>
      <c r="Z2" s="5"/>
      <c r="AA2" s="5"/>
      <c r="AB2" s="5"/>
      <c r="AC2" s="5"/>
    </row>
    <row r="3" spans="1:107" s="268" customFormat="1" x14ac:dyDescent="0.25">
      <c r="A3" s="222"/>
      <c r="B3" s="223"/>
      <c r="C3" s="267"/>
      <c r="E3" s="223"/>
      <c r="F3" s="267"/>
      <c r="G3" s="267"/>
      <c r="H3" s="267"/>
      <c r="I3" s="267"/>
      <c r="J3" s="267"/>
      <c r="K3" s="267"/>
      <c r="N3" s="5"/>
      <c r="O3" s="5"/>
      <c r="P3" s="5"/>
      <c r="Q3" s="5"/>
      <c r="R3" s="5"/>
      <c r="S3" s="5"/>
      <c r="T3" s="5"/>
      <c r="U3" s="5"/>
      <c r="V3" s="5"/>
      <c r="W3" s="5"/>
      <c r="X3" s="5"/>
      <c r="Y3" s="5"/>
      <c r="Z3" s="5"/>
      <c r="AA3" s="5"/>
      <c r="AB3" s="5"/>
      <c r="AC3" s="5"/>
    </row>
    <row r="4" spans="1:107" s="570" customFormat="1" ht="18" x14ac:dyDescent="0.25">
      <c r="A4" s="567" t="s">
        <v>20</v>
      </c>
      <c r="B4" s="568"/>
      <c r="C4" s="568"/>
      <c r="D4" s="568"/>
      <c r="E4" s="568"/>
      <c r="F4" s="568"/>
      <c r="G4" s="568"/>
      <c r="H4" s="567"/>
      <c r="I4" s="568"/>
      <c r="J4" s="568"/>
      <c r="K4" s="568"/>
      <c r="L4" s="568"/>
      <c r="M4" s="568"/>
      <c r="N4" s="568"/>
      <c r="O4" s="568"/>
      <c r="P4" s="609"/>
      <c r="Q4" s="609"/>
      <c r="R4" s="609"/>
      <c r="S4" s="609"/>
      <c r="T4" s="572"/>
      <c r="U4" s="569"/>
      <c r="V4" s="569"/>
      <c r="W4" s="569"/>
      <c r="X4" s="569"/>
      <c r="Y4" s="569"/>
      <c r="Z4" s="569"/>
      <c r="AA4" s="569"/>
      <c r="AB4" s="569"/>
      <c r="AC4" s="569"/>
      <c r="AD4" s="573"/>
      <c r="AE4" s="573"/>
      <c r="AF4" s="573"/>
      <c r="AG4" s="573"/>
    </row>
    <row r="5" spans="1:107" s="11" customFormat="1" ht="93" customHeight="1" outlineLevel="1" thickBot="1" x14ac:dyDescent="0.3">
      <c r="A5" s="801" t="s">
        <v>380</v>
      </c>
      <c r="B5" s="802"/>
      <c r="C5" s="802"/>
      <c r="D5" s="802"/>
      <c r="E5" s="802"/>
      <c r="F5" s="802"/>
      <c r="G5" s="802"/>
      <c r="H5" s="802"/>
      <c r="I5" s="802"/>
      <c r="J5" s="802"/>
      <c r="K5" s="802"/>
      <c r="L5" s="802"/>
      <c r="M5" s="802"/>
      <c r="N5" s="802"/>
      <c r="O5" s="802"/>
      <c r="P5" s="5"/>
      <c r="Q5" s="5"/>
      <c r="R5" s="5"/>
      <c r="S5" s="5"/>
      <c r="T5" s="5"/>
      <c r="U5" s="5"/>
      <c r="V5" s="5"/>
      <c r="W5" s="5"/>
      <c r="X5" s="5"/>
      <c r="Y5" s="5"/>
      <c r="Z5" s="5"/>
      <c r="AA5" s="5"/>
      <c r="AB5" s="5"/>
      <c r="AC5" s="5"/>
    </row>
    <row r="6" spans="1:107" s="11" customFormat="1" ht="10.5" customHeight="1" thickTop="1" x14ac:dyDescent="0.25">
      <c r="A6" s="6"/>
      <c r="B6" s="6"/>
      <c r="C6" s="6"/>
      <c r="D6" s="6"/>
      <c r="E6" s="6"/>
      <c r="F6" s="6"/>
      <c r="G6" s="6"/>
      <c r="H6" s="6"/>
      <c r="I6" s="6"/>
      <c r="J6" s="6"/>
      <c r="K6" s="6"/>
      <c r="L6" s="769"/>
      <c r="M6" s="353"/>
      <c r="N6" s="5"/>
      <c r="O6" s="5"/>
      <c r="P6" s="5"/>
      <c r="Q6" s="5"/>
      <c r="R6" s="5"/>
      <c r="S6" s="5"/>
      <c r="T6" s="5"/>
      <c r="U6" s="5"/>
      <c r="V6" s="5"/>
      <c r="W6" s="5"/>
      <c r="X6" s="5"/>
      <c r="Y6" s="5"/>
      <c r="Z6" s="5"/>
      <c r="AA6" s="5"/>
      <c r="AB6" s="5"/>
      <c r="AC6" s="5"/>
    </row>
    <row r="7" spans="1:107" s="11" customFormat="1" x14ac:dyDescent="0.25">
      <c r="A7" s="269" t="s">
        <v>101</v>
      </c>
      <c r="B7" s="270" t="s">
        <v>102</v>
      </c>
      <c r="C7" s="106"/>
      <c r="D7" s="106"/>
      <c r="E7" s="106"/>
      <c r="F7" s="106"/>
      <c r="G7" s="106"/>
      <c r="H7" s="106"/>
      <c r="I7" s="227"/>
      <c r="J7" s="227"/>
      <c r="K7" s="227"/>
      <c r="L7" s="227"/>
      <c r="M7" s="353"/>
      <c r="N7" s="5"/>
      <c r="O7" s="5"/>
      <c r="P7" s="5"/>
      <c r="Q7" s="5"/>
      <c r="R7" s="5"/>
      <c r="S7" s="5"/>
      <c r="T7" s="5"/>
      <c r="U7" s="5"/>
      <c r="V7" s="5"/>
      <c r="W7" s="5"/>
      <c r="X7" s="5"/>
      <c r="Y7" s="5"/>
      <c r="Z7" s="5"/>
      <c r="AA7" s="5"/>
      <c r="AB7" s="5"/>
      <c r="AC7" s="5"/>
    </row>
    <row r="9" spans="1:107" ht="7.5" customHeight="1" x14ac:dyDescent="0.25">
      <c r="A9" s="253"/>
      <c r="C9" s="316"/>
      <c r="D9" s="317"/>
      <c r="E9" s="317"/>
      <c r="F9" s="317"/>
      <c r="G9" s="317"/>
      <c r="H9" s="317"/>
      <c r="I9" s="317"/>
      <c r="J9" s="317"/>
      <c r="K9" s="317"/>
      <c r="N9" s="317"/>
    </row>
    <row r="10" spans="1:107" s="570" customFormat="1" ht="18" x14ac:dyDescent="0.25">
      <c r="A10" s="567" t="s">
        <v>120</v>
      </c>
      <c r="B10" s="568"/>
      <c r="C10" s="568"/>
      <c r="D10" s="568"/>
      <c r="E10" s="568"/>
      <c r="F10" s="568"/>
      <c r="G10" s="568"/>
      <c r="H10" s="567"/>
      <c r="I10" s="568"/>
      <c r="J10" s="568"/>
      <c r="K10" s="568"/>
      <c r="L10" s="568"/>
      <c r="M10" s="568"/>
      <c r="N10" s="568"/>
      <c r="O10" s="568"/>
      <c r="P10" s="609"/>
      <c r="Q10" s="609"/>
      <c r="R10" s="609"/>
      <c r="S10" s="609"/>
      <c r="T10" s="572"/>
      <c r="U10" s="569"/>
      <c r="V10" s="569"/>
      <c r="W10" s="569"/>
      <c r="X10" s="569"/>
      <c r="Y10" s="569"/>
      <c r="Z10" s="569"/>
      <c r="AA10" s="569"/>
      <c r="AB10" s="569"/>
      <c r="AC10" s="569"/>
      <c r="AD10" s="573"/>
      <c r="AE10" s="573"/>
      <c r="AF10" s="573"/>
      <c r="AG10" s="573"/>
    </row>
    <row r="11" spans="1:107" s="272" customFormat="1" ht="16.5" customHeight="1" x14ac:dyDescent="0.25">
      <c r="A11" s="325"/>
      <c r="B11" s="326"/>
      <c r="C11" s="326"/>
      <c r="D11" s="271"/>
      <c r="E11" s="271"/>
      <c r="F11" s="271"/>
      <c r="G11" s="271"/>
      <c r="H11" s="271"/>
      <c r="N11" s="271"/>
      <c r="P11" s="5"/>
      <c r="Q11" s="5"/>
      <c r="R11" s="5"/>
      <c r="S11" s="5"/>
      <c r="T11" s="5"/>
      <c r="U11" s="5"/>
      <c r="V11" s="5"/>
      <c r="W11" s="5"/>
      <c r="X11" s="5"/>
      <c r="Y11" s="5"/>
      <c r="Z11" s="5"/>
      <c r="AA11" s="5"/>
      <c r="AB11" s="5"/>
      <c r="AC11" s="5"/>
    </row>
    <row r="12" spans="1:107" s="332" customFormat="1" ht="50.1" customHeight="1" outlineLevel="1" x14ac:dyDescent="0.25">
      <c r="A12" s="327" t="s">
        <v>22</v>
      </c>
      <c r="B12" s="328" t="s">
        <v>106</v>
      </c>
      <c r="C12" s="329" t="s">
        <v>125</v>
      </c>
      <c r="D12" s="328" t="s">
        <v>105</v>
      </c>
      <c r="E12" s="330" t="str">
        <f>'Conto economico'!C8</f>
        <v>n = anno precedente</v>
      </c>
      <c r="F12" s="330" t="str">
        <f>'Conto economico'!D8</f>
        <v>n+1 
(1° anno PSR)</v>
      </c>
      <c r="G12" s="330" t="str">
        <f>'Conto economico'!E8</f>
        <v>n+2</v>
      </c>
      <c r="H12" s="330" t="str">
        <f>'Conto economico'!F8</f>
        <v>n+3</v>
      </c>
      <c r="I12" s="330" t="str">
        <f>'Conto economico'!G8</f>
        <v>n+4</v>
      </c>
      <c r="J12" s="330" t="str">
        <f>'Conto economico'!H8</f>
        <v>n+5</v>
      </c>
      <c r="K12" s="330" t="str">
        <f>'Conto economico'!I8</f>
        <v>n+6</v>
      </c>
      <c r="L12" s="331" t="str">
        <f>'Conto economico'!J8</f>
        <v>1° anno dopo l'attuazione</v>
      </c>
      <c r="M12" s="766" t="s">
        <v>377</v>
      </c>
      <c r="N12" s="766" t="s">
        <v>372</v>
      </c>
      <c r="O12" s="328" t="s">
        <v>104</v>
      </c>
      <c r="P12" s="5"/>
      <c r="Q12" s="5"/>
      <c r="R12" s="5"/>
      <c r="S12" s="5"/>
      <c r="T12" s="5"/>
      <c r="U12" s="5"/>
      <c r="V12" s="5"/>
      <c r="W12" s="5"/>
      <c r="X12" s="5"/>
      <c r="Y12" s="5"/>
      <c r="Z12" s="5"/>
      <c r="AA12" s="5"/>
      <c r="AB12" s="5"/>
      <c r="AC12" s="5"/>
      <c r="AD12" s="5"/>
    </row>
    <row r="13" spans="1:107" outlineLevel="1" x14ac:dyDescent="0.25">
      <c r="A13" s="333" t="s">
        <v>107</v>
      </c>
      <c r="B13" s="334" t="s">
        <v>30</v>
      </c>
      <c r="C13" s="334"/>
      <c r="D13" s="335">
        <f>'Panoramica SP'!B26</f>
        <v>0</v>
      </c>
      <c r="E13" s="337">
        <f>SUM(E14:E15)+E16</f>
        <v>0</v>
      </c>
      <c r="F13" s="337">
        <f t="shared" ref="F13:L13" si="0">SUM(F14:F15)+F16</f>
        <v>0</v>
      </c>
      <c r="G13" s="337">
        <f t="shared" si="0"/>
        <v>0</v>
      </c>
      <c r="H13" s="337">
        <f t="shared" si="0"/>
        <v>0</v>
      </c>
      <c r="I13" s="337">
        <f t="shared" si="0"/>
        <v>0</v>
      </c>
      <c r="J13" s="337">
        <f t="shared" si="0"/>
        <v>0</v>
      </c>
      <c r="K13" s="337">
        <f t="shared" si="0"/>
        <v>0</v>
      </c>
      <c r="L13" s="337">
        <f t="shared" si="0"/>
        <v>0</v>
      </c>
      <c r="M13" s="775" t="str">
        <f>IF(SUM(E13:L13)='Panoramica SP'!B26,"corretto","non è coerente")</f>
        <v>corretto</v>
      </c>
      <c r="N13" s="336">
        <f>SUM(E13:L13)</f>
        <v>0</v>
      </c>
      <c r="O13" s="338">
        <f>SUM(O14:O23)</f>
        <v>0</v>
      </c>
    </row>
    <row r="14" spans="1:107" outlineLevel="1" x14ac:dyDescent="0.25">
      <c r="A14" s="276"/>
      <c r="B14" s="339" t="s">
        <v>126</v>
      </c>
      <c r="C14" s="340">
        <v>0</v>
      </c>
      <c r="D14" s="172">
        <f>'Panoramica SP'!T26</f>
        <v>0</v>
      </c>
      <c r="E14" s="342"/>
      <c r="F14" s="343"/>
      <c r="G14" s="343"/>
      <c r="H14" s="343"/>
      <c r="I14" s="343"/>
      <c r="J14" s="343"/>
      <c r="K14" s="343"/>
      <c r="L14" s="344"/>
      <c r="M14" s="341" t="str">
        <f>IF(SUM(E14:L14)='Panoramica SP'!T26,"corretto","non è coerente")</f>
        <v>corretto</v>
      </c>
      <c r="N14" s="341">
        <f>SUM(E14:L14)</f>
        <v>0</v>
      </c>
      <c r="O14" s="345" t="str">
        <f>IFERROR(SUM(E14:L14)/$D$13,"N/A")</f>
        <v>N/A</v>
      </c>
    </row>
    <row r="15" spans="1:107" outlineLevel="1" x14ac:dyDescent="0.25">
      <c r="A15" s="276"/>
      <c r="B15" s="346" t="s">
        <v>130</v>
      </c>
      <c r="C15" s="347">
        <v>0</v>
      </c>
      <c r="D15" s="348"/>
      <c r="E15" s="350"/>
      <c r="F15" s="351"/>
      <c r="G15" s="351"/>
      <c r="H15" s="351"/>
      <c r="I15" s="351"/>
      <c r="J15" s="351"/>
      <c r="K15" s="351"/>
      <c r="L15" s="352"/>
      <c r="M15" s="349"/>
      <c r="N15" s="349">
        <f>SUM(E15:L15)</f>
        <v>0</v>
      </c>
      <c r="O15" s="345" t="str">
        <f>IFERROR(SUM(E15:L15)/$D$13,"N/A")</f>
        <v>N/A</v>
      </c>
    </row>
    <row r="16" spans="1:107" outlineLevel="1" x14ac:dyDescent="0.25">
      <c r="A16" s="192"/>
      <c r="B16" s="353"/>
      <c r="C16" s="354"/>
      <c r="D16" s="355"/>
      <c r="E16" s="357">
        <f>SUM(E17:E23)</f>
        <v>0</v>
      </c>
      <c r="F16" s="357">
        <f t="shared" ref="F16:L16" si="1">SUM(F17:F23)</f>
        <v>0</v>
      </c>
      <c r="G16" s="357">
        <f t="shared" si="1"/>
        <v>0</v>
      </c>
      <c r="H16" s="357">
        <f t="shared" si="1"/>
        <v>0</v>
      </c>
      <c r="I16" s="357">
        <f t="shared" si="1"/>
        <v>0</v>
      </c>
      <c r="J16" s="357">
        <f t="shared" si="1"/>
        <v>0</v>
      </c>
      <c r="K16" s="357">
        <f t="shared" si="1"/>
        <v>0</v>
      </c>
      <c r="L16" s="358">
        <f t="shared" si="1"/>
        <v>0</v>
      </c>
      <c r="M16" s="356"/>
      <c r="N16" s="356"/>
      <c r="O16" s="345"/>
    </row>
    <row r="17" spans="1:15" outlineLevel="1" x14ac:dyDescent="0.25">
      <c r="A17" s="276"/>
      <c r="B17" s="360" t="s">
        <v>127</v>
      </c>
      <c r="C17" s="793">
        <v>0.05</v>
      </c>
      <c r="D17" s="770"/>
      <c r="E17" s="342"/>
      <c r="F17" s="343"/>
      <c r="G17" s="343"/>
      <c r="H17" s="343"/>
      <c r="I17" s="343"/>
      <c r="J17" s="343"/>
      <c r="K17" s="343"/>
      <c r="L17" s="344"/>
      <c r="M17" s="361"/>
      <c r="N17" s="361">
        <f>SUM(E17:L17)</f>
        <v>0</v>
      </c>
      <c r="O17" s="345" t="str">
        <f>IFERROR(SUM(E17:L17)/$D$13,"N/A")</f>
        <v>N/A</v>
      </c>
    </row>
    <row r="18" spans="1:15" outlineLevel="1" x14ac:dyDescent="0.25">
      <c r="A18" s="276"/>
      <c r="B18" s="362" t="s">
        <v>235</v>
      </c>
      <c r="C18" s="794">
        <v>0.03</v>
      </c>
      <c r="D18" s="771"/>
      <c r="E18" s="364"/>
      <c r="F18" s="365"/>
      <c r="G18" s="365"/>
      <c r="H18" s="365"/>
      <c r="I18" s="365"/>
      <c r="J18" s="365"/>
      <c r="K18" s="365"/>
      <c r="L18" s="366"/>
      <c r="M18" s="363"/>
      <c r="N18" s="363">
        <f>SUM(E18:L18)</f>
        <v>0</v>
      </c>
      <c r="O18" s="345" t="str">
        <f>IFERROR(SUM(E18:L18)/$D$13,"N/A")</f>
        <v>N/A</v>
      </c>
    </row>
    <row r="19" spans="1:15" outlineLevel="1" x14ac:dyDescent="0.25">
      <c r="A19" s="276"/>
      <c r="B19" s="362" t="s">
        <v>127</v>
      </c>
      <c r="C19" s="794">
        <v>0.02</v>
      </c>
      <c r="D19" s="771"/>
      <c r="E19" s="364"/>
      <c r="F19" s="365"/>
      <c r="G19" s="365"/>
      <c r="H19" s="365"/>
      <c r="I19" s="365"/>
      <c r="J19" s="365"/>
      <c r="K19" s="365"/>
      <c r="L19" s="366"/>
      <c r="M19" s="363"/>
      <c r="N19" s="363">
        <f t="shared" ref="N19:N23" si="2">SUM(E19:L19)</f>
        <v>0</v>
      </c>
      <c r="O19" s="345" t="str">
        <f>IFERROR(SUM(E19:L19)/$D$13,"N/A")</f>
        <v>N/A</v>
      </c>
    </row>
    <row r="20" spans="1:15" outlineLevel="1" x14ac:dyDescent="0.25">
      <c r="A20" s="276"/>
      <c r="B20" s="362"/>
      <c r="C20" s="794"/>
      <c r="D20" s="771"/>
      <c r="E20" s="364"/>
      <c r="F20" s="365"/>
      <c r="G20" s="365"/>
      <c r="H20" s="365"/>
      <c r="I20" s="365"/>
      <c r="J20" s="365"/>
      <c r="K20" s="365"/>
      <c r="L20" s="366"/>
      <c r="M20" s="363"/>
      <c r="N20" s="363">
        <f t="shared" si="2"/>
        <v>0</v>
      </c>
      <c r="O20" s="345"/>
    </row>
    <row r="21" spans="1:15" outlineLevel="1" x14ac:dyDescent="0.25">
      <c r="A21" s="276"/>
      <c r="B21" s="362"/>
      <c r="C21" s="794"/>
      <c r="D21" s="771"/>
      <c r="E21" s="364"/>
      <c r="F21" s="365"/>
      <c r="G21" s="365"/>
      <c r="H21" s="365"/>
      <c r="I21" s="365"/>
      <c r="J21" s="365"/>
      <c r="K21" s="365"/>
      <c r="L21" s="366"/>
      <c r="M21" s="363"/>
      <c r="N21" s="363">
        <f t="shared" si="2"/>
        <v>0</v>
      </c>
      <c r="O21" s="345" t="str">
        <f>IFERROR(SUM(E21:L21)/$D$13,"N/A")</f>
        <v>N/A</v>
      </c>
    </row>
    <row r="22" spans="1:15" outlineLevel="1" x14ac:dyDescent="0.25">
      <c r="A22" s="276"/>
      <c r="B22" s="362"/>
      <c r="C22" s="794"/>
      <c r="D22" s="772"/>
      <c r="E22" s="364"/>
      <c r="F22" s="365"/>
      <c r="G22" s="365"/>
      <c r="H22" s="365"/>
      <c r="I22" s="365"/>
      <c r="J22" s="365"/>
      <c r="K22" s="365"/>
      <c r="L22" s="366"/>
      <c r="M22" s="363"/>
      <c r="N22" s="363">
        <f t="shared" si="2"/>
        <v>0</v>
      </c>
      <c r="O22" s="345" t="str">
        <f>IFERROR(SUM(E22:L22)/$D$13,"N/A")</f>
        <v>N/A</v>
      </c>
    </row>
    <row r="23" spans="1:15" outlineLevel="1" x14ac:dyDescent="0.25">
      <c r="A23" s="282"/>
      <c r="B23" s="367"/>
      <c r="C23" s="795"/>
      <c r="D23" s="773"/>
      <c r="E23" s="350"/>
      <c r="F23" s="351"/>
      <c r="G23" s="351"/>
      <c r="H23" s="351"/>
      <c r="I23" s="351"/>
      <c r="J23" s="351"/>
      <c r="K23" s="351"/>
      <c r="L23" s="352"/>
      <c r="M23" s="368"/>
      <c r="N23" s="368">
        <f t="shared" si="2"/>
        <v>0</v>
      </c>
      <c r="O23" s="345" t="str">
        <f>IFERROR(SUM(E23:L23)/$D$13,"N/A")</f>
        <v>N/A</v>
      </c>
    </row>
    <row r="24" spans="1:15" outlineLevel="1" x14ac:dyDescent="0.25">
      <c r="A24" s="369" t="s">
        <v>111</v>
      </c>
      <c r="B24" s="738" t="s">
        <v>283</v>
      </c>
      <c r="C24" s="744">
        <v>0.03</v>
      </c>
      <c r="D24" s="370">
        <f>SUM(E24:L24)</f>
        <v>0</v>
      </c>
      <c r="E24" s="371">
        <f>E16*C24</f>
        <v>0</v>
      </c>
      <c r="F24" s="371">
        <f>(F16+E16)*C24</f>
        <v>0</v>
      </c>
      <c r="G24" s="371">
        <f>(G16+F16+E16)*C24</f>
        <v>0</v>
      </c>
      <c r="H24" s="371">
        <f>(H16+G16+F16+E16)*C24</f>
        <v>0</v>
      </c>
      <c r="I24" s="371">
        <f>(I16+H16+G16+F16+E16)*C24</f>
        <v>0</v>
      </c>
      <c r="J24" s="371">
        <f>(J16+I16+H16+G16+F16+E16)*C24</f>
        <v>0</v>
      </c>
      <c r="K24" s="371">
        <f>(K16+J16+I16+H16+G16+F16+E16)*C24</f>
        <v>0</v>
      </c>
      <c r="L24" s="372">
        <f>(L16+K16+J16+I16+H16+G16+F16+E16)*C24</f>
        <v>0</v>
      </c>
      <c r="M24" s="774"/>
      <c r="N24" s="317"/>
      <c r="O24" s="359"/>
    </row>
    <row r="25" spans="1:15" outlineLevel="1" x14ac:dyDescent="0.25">
      <c r="A25" s="373" t="s">
        <v>112</v>
      </c>
      <c r="B25" s="374" t="s">
        <v>129</v>
      </c>
      <c r="C25" s="714">
        <v>0.02</v>
      </c>
      <c r="D25" s="375">
        <f>SUM(E25:L25)</f>
        <v>0</v>
      </c>
      <c r="E25" s="376">
        <f>E13*C25</f>
        <v>0</v>
      </c>
      <c r="F25" s="376">
        <f>(F13+E13)*$C$25</f>
        <v>0</v>
      </c>
      <c r="G25" s="376">
        <f>(G13+F13+E13)*$C$25</f>
        <v>0</v>
      </c>
      <c r="H25" s="376">
        <f>(H13+G13+F13+E13)*$C$25</f>
        <v>0</v>
      </c>
      <c r="I25" s="376">
        <f>(I13+H13+G13+F13+E13)*$C$25</f>
        <v>0</v>
      </c>
      <c r="J25" s="376">
        <f>(J13+I13+H13+G13+F13+E13)*$C$25</f>
        <v>0</v>
      </c>
      <c r="K25" s="376">
        <f>(K13+J13+I13+H13+G13+F13+E13)*$C$25</f>
        <v>0</v>
      </c>
      <c r="L25" s="377">
        <f>(L13+K13+J13+I13+H13+G13+F13+E13)*$C$25</f>
        <v>0</v>
      </c>
      <c r="M25" s="774"/>
      <c r="N25" s="317"/>
      <c r="O25" s="359"/>
    </row>
    <row r="26" spans="1:15" outlineLevel="1" x14ac:dyDescent="0.25">
      <c r="A26" s="739" t="s">
        <v>356</v>
      </c>
      <c r="B26" s="740"/>
      <c r="C26" s="741"/>
      <c r="D26" s="742">
        <f>SUM(E26:L26)</f>
        <v>0</v>
      </c>
      <c r="E26" s="380">
        <f>SUMPRODUCT(E17:E23,C17:C23)</f>
        <v>0</v>
      </c>
      <c r="F26" s="380">
        <f>SUM(E19:F19)*C19+SUM(E20:F20)*C20+SUM(E21:F21)*C21+SUM(E22:F22)*C22+SUM(E23:F23)*C23+SUM(E18:F18)*C18+SUM(E17:F17)*C17</f>
        <v>0</v>
      </c>
      <c r="G26" s="380">
        <f>SUM(E19:G19)*C19+SUM(E20:G20)*C20+SUM(E21:G21)*C21+SUM(E22:G22)*C22+SUM(E23:G23)*C23+SUM(E18:G18)*C18+SUM(E17:G17)*C17</f>
        <v>0</v>
      </c>
      <c r="H26" s="380">
        <f>SUM(E19:H19)*C19+SUM(E20:H20)*C20+SUM(E21:H21)*C21+SUM(E22:H22)*C22+SUM(E23:H23)*C23+SUM(E18:H18)*C18+SUM(E17:H17)*C17</f>
        <v>0</v>
      </c>
      <c r="I26" s="380">
        <f>SUM(E19:I19)*C19+SUM(E20:I20)*C20+SUM(E21:I21)*C21+SUM(E22:I22)*C22+SUM(E23:I23)*C23+SUM(E18:I18)*C18+SUM(E17:I17)*C17</f>
        <v>0</v>
      </c>
      <c r="J26" s="380">
        <f>SUM(E19:J19)*C19+SUM(E20:J20)*C20+SUM(E21:J21)*C21+SUM(E22:J22)*C22+SUM(E23:J23)*C23+SUM(E18:J18)*C18+SUM(E17:J17)*C17</f>
        <v>0</v>
      </c>
      <c r="K26" s="380">
        <f>SUM(E19:K19)*C19+SUM(E20:K20)*C20+SUM(E21:K21)*C21+SUM(E22:K22)*C22+SUM(E23:K23)*C23+SUM(E18:K18)*C18+SUM(E17:K17)*C17</f>
        <v>0</v>
      </c>
      <c r="L26" s="743">
        <f>SUM(E19:L19)*C19+SUM(E20:L20)*C20+SUM(E21:L21)*C21+SUM(E22:L22)*C22+SUM(E23:L23)*C23+SUM(E18:L18)*C18+SUM(E17:L17)*C17</f>
        <v>0</v>
      </c>
      <c r="M26" s="774"/>
      <c r="N26" s="317"/>
      <c r="O26" s="359"/>
    </row>
    <row r="27" spans="1:15" outlineLevel="1" x14ac:dyDescent="0.25">
      <c r="A27" s="253"/>
      <c r="B27" s="317"/>
      <c r="C27" s="316"/>
      <c r="D27" s="378"/>
      <c r="F27" s="379"/>
      <c r="G27" s="379"/>
      <c r="H27" s="379"/>
      <c r="I27" s="379"/>
      <c r="J27" s="379"/>
      <c r="K27" s="379"/>
      <c r="L27" s="718"/>
      <c r="M27" s="774"/>
      <c r="N27" s="317"/>
      <c r="O27" s="359"/>
    </row>
    <row r="28" spans="1:15" outlineLevel="1" x14ac:dyDescent="0.25">
      <c r="A28" s="333" t="s">
        <v>23</v>
      </c>
      <c r="B28" s="334"/>
      <c r="C28" s="334"/>
      <c r="D28" s="335">
        <f>'Panoramica SP'!B27</f>
        <v>0</v>
      </c>
      <c r="E28" s="337">
        <f>SUM(E29:E30)+E31</f>
        <v>0</v>
      </c>
      <c r="F28" s="337">
        <f t="shared" ref="F28" si="3">SUM(F29:F30)+F31</f>
        <v>0</v>
      </c>
      <c r="G28" s="337">
        <f t="shared" ref="G28" si="4">SUM(G29:G30)+G31</f>
        <v>0</v>
      </c>
      <c r="H28" s="337">
        <f t="shared" ref="H28" si="5">SUM(H29:H30)+H31</f>
        <v>0</v>
      </c>
      <c r="I28" s="337">
        <f t="shared" ref="I28" si="6">SUM(I29:I30)+I31</f>
        <v>0</v>
      </c>
      <c r="J28" s="337">
        <f t="shared" ref="J28" si="7">SUM(J29:J30)+J31</f>
        <v>0</v>
      </c>
      <c r="K28" s="337">
        <f t="shared" ref="K28" si="8">SUM(K29:K30)+K31</f>
        <v>0</v>
      </c>
      <c r="L28" s="337">
        <f t="shared" ref="L28" si="9">SUM(L29:L30)+L31</f>
        <v>0</v>
      </c>
      <c r="M28" s="775" t="str">
        <f>IF(SUM(E28:L28)='Panoramica SP'!B27,"corretto","non è coerente")</f>
        <v>corretto</v>
      </c>
      <c r="N28" s="336">
        <f>SUM(E28:L28)</f>
        <v>0</v>
      </c>
      <c r="O28" s="338">
        <f>SUM(O29:O38)</f>
        <v>0</v>
      </c>
    </row>
    <row r="29" spans="1:15" outlineLevel="1" x14ac:dyDescent="0.25">
      <c r="A29" s="276"/>
      <c r="B29" s="339" t="s">
        <v>126</v>
      </c>
      <c r="C29" s="340">
        <v>0</v>
      </c>
      <c r="D29" s="172">
        <f>'Panoramica SP'!T27</f>
        <v>0</v>
      </c>
      <c r="E29" s="342"/>
      <c r="F29" s="343"/>
      <c r="G29" s="343"/>
      <c r="H29" s="343"/>
      <c r="I29" s="343"/>
      <c r="J29" s="343"/>
      <c r="K29" s="343"/>
      <c r="L29" s="344">
        <f>IFERROR(D29*0.2,"")</f>
        <v>0</v>
      </c>
      <c r="M29" s="341" t="str">
        <f>IF(SUM(E29:L29)='Panoramica SP'!T27,"corretto","non è coerente")</f>
        <v>corretto</v>
      </c>
      <c r="N29" s="341">
        <f>SUM(E29:L29)</f>
        <v>0</v>
      </c>
      <c r="O29" s="345" t="str">
        <f>IFERROR(SUM(E29:L29)/$D$28,"N/A")</f>
        <v>N/A</v>
      </c>
    </row>
    <row r="30" spans="1:15" outlineLevel="1" x14ac:dyDescent="0.25">
      <c r="A30" s="276"/>
      <c r="B30" s="346" t="s">
        <v>130</v>
      </c>
      <c r="C30" s="347">
        <v>0</v>
      </c>
      <c r="D30" s="348"/>
      <c r="E30" s="350"/>
      <c r="F30" s="351"/>
      <c r="G30" s="351"/>
      <c r="H30" s="351"/>
      <c r="I30" s="351"/>
      <c r="J30" s="351"/>
      <c r="K30" s="351"/>
      <c r="L30" s="352"/>
      <c r="M30" s="349"/>
      <c r="N30" s="349">
        <f>SUM(E30:L30)</f>
        <v>0</v>
      </c>
      <c r="O30" s="345" t="str">
        <f>IFERROR(SUM(E30:L30)/$D$28,"N/A")</f>
        <v>N/A</v>
      </c>
    </row>
    <row r="31" spans="1:15" outlineLevel="1" x14ac:dyDescent="0.25">
      <c r="A31" s="192"/>
      <c r="B31" s="353"/>
      <c r="C31" s="354"/>
      <c r="D31" s="355"/>
      <c r="E31" s="357">
        <f>SUM(E32:E38)</f>
        <v>0</v>
      </c>
      <c r="F31" s="357">
        <f t="shared" ref="F31" si="10">SUM(F32:F38)</f>
        <v>0</v>
      </c>
      <c r="G31" s="357">
        <f t="shared" ref="G31" si="11">SUM(G32:G38)</f>
        <v>0</v>
      </c>
      <c r="H31" s="357">
        <f t="shared" ref="H31" si="12">SUM(H32:H38)</f>
        <v>0</v>
      </c>
      <c r="I31" s="357">
        <f t="shared" ref="I31" si="13">SUM(I32:I38)</f>
        <v>0</v>
      </c>
      <c r="J31" s="357">
        <f t="shared" ref="J31" si="14">SUM(J32:J38)</f>
        <v>0</v>
      </c>
      <c r="K31" s="357">
        <f t="shared" ref="K31" si="15">SUM(K32:K38)</f>
        <v>0</v>
      </c>
      <c r="L31" s="357">
        <f t="shared" ref="L31" si="16">SUM(L32:L38)</f>
        <v>0</v>
      </c>
      <c r="M31" s="356"/>
      <c r="N31" s="356"/>
      <c r="O31" s="345"/>
    </row>
    <row r="32" spans="1:15" outlineLevel="1" x14ac:dyDescent="0.25">
      <c r="A32" s="276"/>
      <c r="B32" s="360" t="s">
        <v>251</v>
      </c>
      <c r="C32" s="793"/>
      <c r="D32" s="770"/>
      <c r="E32" s="342"/>
      <c r="F32" s="343"/>
      <c r="G32" s="343"/>
      <c r="H32" s="343"/>
      <c r="I32" s="343"/>
      <c r="J32" s="343"/>
      <c r="K32" s="343"/>
      <c r="L32" s="344"/>
      <c r="M32" s="361"/>
      <c r="N32" s="361">
        <f t="shared" ref="N32:N38" si="17">SUM(E32:L32)</f>
        <v>0</v>
      </c>
      <c r="O32" s="345" t="str">
        <f t="shared" ref="O32:O38" si="18">IFERROR(SUM(E32:L32)/$D$28,"N/A")</f>
        <v>N/A</v>
      </c>
    </row>
    <row r="33" spans="1:15" outlineLevel="1" x14ac:dyDescent="0.25">
      <c r="A33" s="276"/>
      <c r="B33" s="362"/>
      <c r="C33" s="794"/>
      <c r="D33" s="771"/>
      <c r="E33" s="364"/>
      <c r="F33" s="365"/>
      <c r="G33" s="365"/>
      <c r="H33" s="365"/>
      <c r="I33" s="365"/>
      <c r="J33" s="365"/>
      <c r="K33" s="365"/>
      <c r="L33" s="366"/>
      <c r="M33" s="363"/>
      <c r="N33" s="363">
        <f t="shared" si="17"/>
        <v>0</v>
      </c>
      <c r="O33" s="345" t="str">
        <f t="shared" si="18"/>
        <v>N/A</v>
      </c>
    </row>
    <row r="34" spans="1:15" outlineLevel="1" x14ac:dyDescent="0.25">
      <c r="A34" s="276"/>
      <c r="B34" s="362"/>
      <c r="C34" s="794"/>
      <c r="D34" s="771"/>
      <c r="E34" s="364"/>
      <c r="F34" s="365"/>
      <c r="G34" s="365"/>
      <c r="H34" s="365"/>
      <c r="I34" s="365"/>
      <c r="J34" s="365"/>
      <c r="K34" s="365"/>
      <c r="L34" s="366"/>
      <c r="M34" s="363"/>
      <c r="N34" s="363">
        <f t="shared" si="17"/>
        <v>0</v>
      </c>
      <c r="O34" s="345" t="str">
        <f t="shared" si="18"/>
        <v>N/A</v>
      </c>
    </row>
    <row r="35" spans="1:15" outlineLevel="1" x14ac:dyDescent="0.25">
      <c r="A35" s="276"/>
      <c r="B35" s="362" t="s">
        <v>237</v>
      </c>
      <c r="C35" s="794"/>
      <c r="D35" s="771"/>
      <c r="E35" s="364"/>
      <c r="F35" s="365"/>
      <c r="G35" s="365"/>
      <c r="H35" s="365"/>
      <c r="I35" s="365"/>
      <c r="J35" s="365"/>
      <c r="K35" s="365"/>
      <c r="L35" s="366"/>
      <c r="M35" s="363"/>
      <c r="N35" s="363">
        <f t="shared" si="17"/>
        <v>0</v>
      </c>
      <c r="O35" s="345" t="str">
        <f t="shared" si="18"/>
        <v>N/A</v>
      </c>
    </row>
    <row r="36" spans="1:15" outlineLevel="1" x14ac:dyDescent="0.25">
      <c r="A36" s="276"/>
      <c r="B36" s="362" t="s">
        <v>251</v>
      </c>
      <c r="C36" s="794"/>
      <c r="D36" s="771"/>
      <c r="E36" s="364"/>
      <c r="F36" s="365"/>
      <c r="G36" s="365"/>
      <c r="H36" s="365"/>
      <c r="I36" s="365"/>
      <c r="J36" s="365"/>
      <c r="K36" s="365"/>
      <c r="L36" s="366"/>
      <c r="M36" s="363"/>
      <c r="N36" s="363">
        <f t="shared" si="17"/>
        <v>0</v>
      </c>
      <c r="O36" s="345" t="str">
        <f t="shared" si="18"/>
        <v>N/A</v>
      </c>
    </row>
    <row r="37" spans="1:15" outlineLevel="1" x14ac:dyDescent="0.25">
      <c r="A37" s="276"/>
      <c r="B37" s="362"/>
      <c r="C37" s="794"/>
      <c r="D37" s="772"/>
      <c r="E37" s="364"/>
      <c r="F37" s="365"/>
      <c r="G37" s="365"/>
      <c r="H37" s="365"/>
      <c r="I37" s="365"/>
      <c r="J37" s="365"/>
      <c r="K37" s="365"/>
      <c r="L37" s="366"/>
      <c r="M37" s="363"/>
      <c r="N37" s="363">
        <f t="shared" si="17"/>
        <v>0</v>
      </c>
      <c r="O37" s="345" t="str">
        <f t="shared" si="18"/>
        <v>N/A</v>
      </c>
    </row>
    <row r="38" spans="1:15" outlineLevel="1" x14ac:dyDescent="0.25">
      <c r="A38" s="282"/>
      <c r="B38" s="367"/>
      <c r="C38" s="795"/>
      <c r="D38" s="773"/>
      <c r="E38" s="350"/>
      <c r="F38" s="351"/>
      <c r="G38" s="351"/>
      <c r="H38" s="351"/>
      <c r="I38" s="351"/>
      <c r="J38" s="351"/>
      <c r="K38" s="351"/>
      <c r="L38" s="352"/>
      <c r="M38" s="368"/>
      <c r="N38" s="368">
        <f t="shared" si="17"/>
        <v>0</v>
      </c>
      <c r="O38" s="345" t="str">
        <f t="shared" si="18"/>
        <v>N/A</v>
      </c>
    </row>
    <row r="39" spans="1:15" outlineLevel="1" x14ac:dyDescent="0.25">
      <c r="A39" s="369" t="s">
        <v>111</v>
      </c>
      <c r="B39" s="738" t="s">
        <v>283</v>
      </c>
      <c r="C39" s="744"/>
      <c r="D39" s="370">
        <f>SUM(E39:L39)</f>
        <v>0</v>
      </c>
      <c r="E39" s="371">
        <f>E31*C39</f>
        <v>0</v>
      </c>
      <c r="F39" s="371">
        <f>(F31+E31)*C39</f>
        <v>0</v>
      </c>
      <c r="G39" s="371">
        <f>(G31+F31+E31)*C39</f>
        <v>0</v>
      </c>
      <c r="H39" s="371">
        <f>(H31+G31+F31+E31)*C39</f>
        <v>0</v>
      </c>
      <c r="I39" s="371">
        <f>(I31+H31+G31+F31+E31)*C39</f>
        <v>0</v>
      </c>
      <c r="J39" s="371">
        <f>(J31+I31+H31+G31+F31+E31)*C39</f>
        <v>0</v>
      </c>
      <c r="K39" s="371">
        <f>(K31+J31+I31+H31+G31+F31+E31)*C39</f>
        <v>0</v>
      </c>
      <c r="L39" s="372">
        <f>(L31+K31+J31+I31+H31+G31+F31+E31)*C39</f>
        <v>0</v>
      </c>
      <c r="M39" s="774"/>
      <c r="N39" s="317"/>
      <c r="O39" s="359"/>
    </row>
    <row r="40" spans="1:15" outlineLevel="1" x14ac:dyDescent="0.25">
      <c r="A40" s="373" t="s">
        <v>112</v>
      </c>
      <c r="B40" s="374" t="s">
        <v>129</v>
      </c>
      <c r="C40" s="714"/>
      <c r="D40" s="375">
        <f>SUM(E40:L40)</f>
        <v>0</v>
      </c>
      <c r="E40" s="376">
        <f>E28*C40</f>
        <v>0</v>
      </c>
      <c r="F40" s="376">
        <f>(F28+E28)*C40</f>
        <v>0</v>
      </c>
      <c r="G40" s="376">
        <f>(G28+F28+E28)*C40</f>
        <v>0</v>
      </c>
      <c r="H40" s="376">
        <f>(H28+G28+F28+E28)*C40</f>
        <v>0</v>
      </c>
      <c r="I40" s="376">
        <f>(I28+H28+G28+F28+E28)*C40</f>
        <v>0</v>
      </c>
      <c r="J40" s="376">
        <f>(J28+I28+H28+G28+F28+E28)*C40</f>
        <v>0</v>
      </c>
      <c r="K40" s="376">
        <f>(K28+J28+I28+H28+G28+F28+E28)*C40</f>
        <v>0</v>
      </c>
      <c r="L40" s="377">
        <f>(L28+K28+J28+I28+H28+G28+F28+E28)*C40</f>
        <v>0</v>
      </c>
      <c r="M40" s="774"/>
      <c r="N40" s="317"/>
      <c r="O40" s="359"/>
    </row>
    <row r="41" spans="1:15" outlineLevel="1" x14ac:dyDescent="0.25">
      <c r="A41" s="739" t="s">
        <v>356</v>
      </c>
      <c r="B41" s="740"/>
      <c r="C41" s="741"/>
      <c r="D41" s="742">
        <f>SUM(E41:L41)</f>
        <v>0</v>
      </c>
      <c r="E41" s="380">
        <f>SUMPRODUCT(E32:E38,C32:C38)</f>
        <v>0</v>
      </c>
      <c r="F41" s="380">
        <f>SUM(E34:F34)*C34+SUM(E35:F35)*C35+SUM(E36:F36)*C36+SUM(E37:F37)*C37+SUM(E38:F38)*C38+SUM(E33:F33)*C33+SUM(E32:F32)*C32</f>
        <v>0</v>
      </c>
      <c r="G41" s="380">
        <f>SUM(E34:G34)*C34+SUM(E35:G35)*C35+SUM(E36:G36)*C36+SUM(E37:G37)*C37+SUM(E38:G38)*C38+SUM(E33:G33)*C33+SUM(E32:G32)*C32</f>
        <v>0</v>
      </c>
      <c r="H41" s="380">
        <f>SUM(E34:H34)*C34+SUM(E35:H35)*C35+SUM(E36:H36)*C36+SUM(E37:H37)*C37+SUM(E38:H38)*C38+SUM(E33:H33)*C33+SUM(E32:H32)*C32</f>
        <v>0</v>
      </c>
      <c r="I41" s="380">
        <f>SUM(E34:I34)*C34+SUM(E35:I35)*C35+SUM(E36:I36)*C36+SUM(E37:I37)*C37+SUM(E38:I38)*C38+SUM(E33:I33)*C33+SUM(E32:I32)*C32</f>
        <v>0</v>
      </c>
      <c r="J41" s="380">
        <f>SUM(E34:J34)*C34+SUM(E35:J35)*C35+SUM(E36:J36)*C36+SUM(E37:J37)*C37+SUM(E38:J38)*C38+SUM(E33:J33)*C33+SUM(E32:J32)*C32</f>
        <v>0</v>
      </c>
      <c r="K41" s="380">
        <f>SUM(E34:K34)*C34+SUM(E35:K35)*C35+SUM(E36:K36)*C36+SUM(E37:K37)*C37+SUM(E38:K38)*C38+SUM(E33:K33)*C33+SUM(E32:K32)*C32</f>
        <v>0</v>
      </c>
      <c r="L41" s="743">
        <f>SUM(E34:L34)*C34+SUM(E35:L35)*C35+SUM(E36:L36)*C36+SUM(E37:L37)*C37+SUM(E38:L38)*C38+SUM(E33:L33)*C33+SUM(E32:L32)*C32</f>
        <v>0</v>
      </c>
      <c r="M41" s="774"/>
      <c r="N41" s="317"/>
      <c r="O41" s="359"/>
    </row>
    <row r="42" spans="1:15" outlineLevel="1" x14ac:dyDescent="0.25">
      <c r="A42" s="253"/>
      <c r="B42" s="317"/>
      <c r="C42" s="316"/>
      <c r="D42" s="378"/>
      <c r="F42" s="379"/>
      <c r="G42" s="379"/>
      <c r="H42" s="379"/>
      <c r="I42" s="379"/>
      <c r="J42" s="379"/>
      <c r="K42" s="379"/>
      <c r="L42" s="380"/>
      <c r="M42" s="774"/>
      <c r="N42" s="317"/>
      <c r="O42" s="359"/>
    </row>
    <row r="43" spans="1:15" outlineLevel="1" x14ac:dyDescent="0.25">
      <c r="A43" s="333" t="s">
        <v>24</v>
      </c>
      <c r="B43" s="334"/>
      <c r="C43" s="334"/>
      <c r="D43" s="335">
        <f>'Panoramica SP'!B28</f>
        <v>0</v>
      </c>
      <c r="E43" s="337">
        <f>SUM(E44:E45)+E46</f>
        <v>0</v>
      </c>
      <c r="F43" s="337">
        <f t="shared" ref="F43" si="19">SUM(F44:F45)+F46</f>
        <v>0</v>
      </c>
      <c r="G43" s="337">
        <f t="shared" ref="G43" si="20">SUM(G44:G45)+G46</f>
        <v>0</v>
      </c>
      <c r="H43" s="337">
        <f t="shared" ref="H43" si="21">SUM(H44:H45)+H46</f>
        <v>0</v>
      </c>
      <c r="I43" s="337">
        <f t="shared" ref="I43" si="22">SUM(I44:I45)+I46</f>
        <v>0</v>
      </c>
      <c r="J43" s="337">
        <f t="shared" ref="J43" si="23">SUM(J44:J45)+J46</f>
        <v>0</v>
      </c>
      <c r="K43" s="337">
        <f t="shared" ref="K43" si="24">SUM(K44:K45)+K46</f>
        <v>0</v>
      </c>
      <c r="L43" s="337">
        <f t="shared" ref="L43" si="25">SUM(L44:L45)+L46</f>
        <v>0</v>
      </c>
      <c r="M43" s="775" t="str">
        <f>IF(SUM(E43:L43)='Panoramica SP'!B28,"corretto","non è coerente")</f>
        <v>corretto</v>
      </c>
      <c r="N43" s="336">
        <f>SUM(E43:L43)</f>
        <v>0</v>
      </c>
      <c r="O43" s="338">
        <f>SUM(O44:O53)</f>
        <v>0</v>
      </c>
    </row>
    <row r="44" spans="1:15" outlineLevel="1" x14ac:dyDescent="0.25">
      <c r="A44" s="276"/>
      <c r="B44" s="339" t="s">
        <v>126</v>
      </c>
      <c r="C44" s="340">
        <v>0</v>
      </c>
      <c r="D44" s="172" t="str">
        <f>'Panoramica SP'!S28</f>
        <v/>
      </c>
      <c r="E44" s="342"/>
      <c r="F44" s="343"/>
      <c r="G44" s="343"/>
      <c r="H44" s="343"/>
      <c r="I44" s="343"/>
      <c r="J44" s="343"/>
      <c r="K44" s="343"/>
      <c r="L44" s="344" t="str">
        <f>IFERROR(D44*0.2,"")</f>
        <v/>
      </c>
      <c r="M44" s="341" t="str">
        <f>IF(SUM(E44:L44)='Panoramica SP'!T28,"corretto","non è coerente")</f>
        <v>corretto</v>
      </c>
      <c r="N44" s="341">
        <f>SUM(E44:L44)</f>
        <v>0</v>
      </c>
      <c r="O44" s="345" t="str">
        <f>IFERROR(SUM(E44:L44)/$D$43,"N/A")</f>
        <v>N/A</v>
      </c>
    </row>
    <row r="45" spans="1:15" outlineLevel="1" x14ac:dyDescent="0.25">
      <c r="A45" s="276"/>
      <c r="B45" s="346" t="s">
        <v>130</v>
      </c>
      <c r="C45" s="347">
        <v>0</v>
      </c>
      <c r="D45" s="348"/>
      <c r="E45" s="350"/>
      <c r="F45" s="351"/>
      <c r="G45" s="351"/>
      <c r="H45" s="351"/>
      <c r="I45" s="351"/>
      <c r="J45" s="351"/>
      <c r="K45" s="351"/>
      <c r="L45" s="352"/>
      <c r="M45" s="349"/>
      <c r="N45" s="349">
        <f>SUM(E45:L45)</f>
        <v>0</v>
      </c>
      <c r="O45" s="345" t="str">
        <f>IFERROR(SUM(E45:L45)/$D$43,"N/A")</f>
        <v>N/A</v>
      </c>
    </row>
    <row r="46" spans="1:15" outlineLevel="1" x14ac:dyDescent="0.25">
      <c r="A46" s="192"/>
      <c r="B46" s="353"/>
      <c r="C46" s="354"/>
      <c r="D46" s="355"/>
      <c r="E46" s="357">
        <f>SUM(E47:E53)</f>
        <v>0</v>
      </c>
      <c r="F46" s="357">
        <f t="shared" ref="F46" si="26">SUM(F47:F53)</f>
        <v>0</v>
      </c>
      <c r="G46" s="357">
        <f t="shared" ref="G46" si="27">SUM(G47:G53)</f>
        <v>0</v>
      </c>
      <c r="H46" s="357">
        <f t="shared" ref="H46" si="28">SUM(H47:H53)</f>
        <v>0</v>
      </c>
      <c r="I46" s="357">
        <f t="shared" ref="I46" si="29">SUM(I47:I53)</f>
        <v>0</v>
      </c>
      <c r="J46" s="357">
        <f t="shared" ref="J46" si="30">SUM(J47:J53)</f>
        <v>0</v>
      </c>
      <c r="K46" s="357">
        <f t="shared" ref="K46" si="31">SUM(K47:K53)</f>
        <v>0</v>
      </c>
      <c r="L46" s="357">
        <f t="shared" ref="L46" si="32">SUM(L47:L53)</f>
        <v>0</v>
      </c>
      <c r="M46" s="356"/>
      <c r="N46" s="356"/>
      <c r="O46" s="345"/>
    </row>
    <row r="47" spans="1:15" outlineLevel="1" x14ac:dyDescent="0.25">
      <c r="A47" s="276"/>
      <c r="B47" s="360" t="s">
        <v>251</v>
      </c>
      <c r="C47" s="793"/>
      <c r="D47" s="770"/>
      <c r="E47" s="342"/>
      <c r="F47" s="343"/>
      <c r="G47" s="343"/>
      <c r="H47" s="343"/>
      <c r="I47" s="343"/>
      <c r="J47" s="343"/>
      <c r="K47" s="343"/>
      <c r="L47" s="344"/>
      <c r="M47" s="361"/>
      <c r="N47" s="361">
        <f t="shared" ref="N47:N53" si="33">SUM(E47:L47)</f>
        <v>0</v>
      </c>
      <c r="O47" s="345" t="str">
        <f t="shared" ref="O47:O53" si="34">IFERROR(SUM(E47:L47)/$D$43,"N/A")</f>
        <v>N/A</v>
      </c>
    </row>
    <row r="48" spans="1:15" outlineLevel="1" x14ac:dyDescent="0.25">
      <c r="A48" s="276"/>
      <c r="B48" s="362"/>
      <c r="C48" s="794"/>
      <c r="D48" s="771"/>
      <c r="E48" s="364"/>
      <c r="F48" s="365"/>
      <c r="G48" s="365"/>
      <c r="H48" s="365"/>
      <c r="I48" s="365"/>
      <c r="J48" s="365"/>
      <c r="K48" s="365"/>
      <c r="L48" s="366"/>
      <c r="M48" s="363"/>
      <c r="N48" s="363">
        <f t="shared" si="33"/>
        <v>0</v>
      </c>
      <c r="O48" s="345" t="str">
        <f t="shared" si="34"/>
        <v>N/A</v>
      </c>
    </row>
    <row r="49" spans="1:15" outlineLevel="1" x14ac:dyDescent="0.25">
      <c r="A49" s="276"/>
      <c r="B49" s="362"/>
      <c r="C49" s="794"/>
      <c r="D49" s="771"/>
      <c r="E49" s="364"/>
      <c r="F49" s="365"/>
      <c r="G49" s="365"/>
      <c r="H49" s="365"/>
      <c r="I49" s="365"/>
      <c r="J49" s="365"/>
      <c r="K49" s="365"/>
      <c r="L49" s="366"/>
      <c r="M49" s="363"/>
      <c r="N49" s="363">
        <f t="shared" si="33"/>
        <v>0</v>
      </c>
      <c r="O49" s="345" t="str">
        <f t="shared" si="34"/>
        <v>N/A</v>
      </c>
    </row>
    <row r="50" spans="1:15" outlineLevel="1" x14ac:dyDescent="0.25">
      <c r="A50" s="276"/>
      <c r="B50" s="362"/>
      <c r="C50" s="794"/>
      <c r="D50" s="771"/>
      <c r="E50" s="364"/>
      <c r="F50" s="365"/>
      <c r="G50" s="365"/>
      <c r="H50" s="365"/>
      <c r="I50" s="365"/>
      <c r="J50" s="365"/>
      <c r="K50" s="365"/>
      <c r="L50" s="366"/>
      <c r="M50" s="363"/>
      <c r="N50" s="363">
        <f t="shared" si="33"/>
        <v>0</v>
      </c>
      <c r="O50" s="345" t="str">
        <f t="shared" si="34"/>
        <v>N/A</v>
      </c>
    </row>
    <row r="51" spans="1:15" outlineLevel="1" x14ac:dyDescent="0.25">
      <c r="A51" s="276"/>
      <c r="B51" s="362"/>
      <c r="C51" s="794"/>
      <c r="D51" s="771"/>
      <c r="E51" s="364"/>
      <c r="F51" s="365"/>
      <c r="G51" s="365"/>
      <c r="H51" s="365"/>
      <c r="I51" s="365"/>
      <c r="J51" s="365"/>
      <c r="K51" s="365"/>
      <c r="L51" s="366"/>
      <c r="M51" s="363"/>
      <c r="N51" s="363">
        <f t="shared" si="33"/>
        <v>0</v>
      </c>
      <c r="O51" s="345" t="str">
        <f t="shared" si="34"/>
        <v>N/A</v>
      </c>
    </row>
    <row r="52" spans="1:15" outlineLevel="1" x14ac:dyDescent="0.25">
      <c r="A52" s="276"/>
      <c r="B52" s="362"/>
      <c r="C52" s="794"/>
      <c r="D52" s="772"/>
      <c r="E52" s="364"/>
      <c r="F52" s="365"/>
      <c r="G52" s="365"/>
      <c r="H52" s="365"/>
      <c r="I52" s="365"/>
      <c r="J52" s="365"/>
      <c r="K52" s="365"/>
      <c r="L52" s="366"/>
      <c r="M52" s="363"/>
      <c r="N52" s="363">
        <f t="shared" si="33"/>
        <v>0</v>
      </c>
      <c r="O52" s="345" t="str">
        <f t="shared" si="34"/>
        <v>N/A</v>
      </c>
    </row>
    <row r="53" spans="1:15" outlineLevel="1" x14ac:dyDescent="0.25">
      <c r="A53" s="282"/>
      <c r="B53" s="367"/>
      <c r="C53" s="795"/>
      <c r="D53" s="773"/>
      <c r="E53" s="350"/>
      <c r="F53" s="351"/>
      <c r="G53" s="351"/>
      <c r="H53" s="351"/>
      <c r="I53" s="351"/>
      <c r="J53" s="351"/>
      <c r="K53" s="351"/>
      <c r="L53" s="352"/>
      <c r="M53" s="368"/>
      <c r="N53" s="368">
        <f t="shared" si="33"/>
        <v>0</v>
      </c>
      <c r="O53" s="345" t="str">
        <f t="shared" si="34"/>
        <v>N/A</v>
      </c>
    </row>
    <row r="54" spans="1:15" outlineLevel="1" x14ac:dyDescent="0.25">
      <c r="A54" s="369" t="s">
        <v>111</v>
      </c>
      <c r="B54" s="738" t="s">
        <v>283</v>
      </c>
      <c r="C54" s="744"/>
      <c r="D54" s="370">
        <f>SUM(E54:L54)</f>
        <v>0</v>
      </c>
      <c r="E54" s="371">
        <f>E46*C54</f>
        <v>0</v>
      </c>
      <c r="F54" s="371">
        <f>(F46+E46)*C54</f>
        <v>0</v>
      </c>
      <c r="G54" s="371">
        <f>(G46+F46+E46)*C54</f>
        <v>0</v>
      </c>
      <c r="H54" s="371">
        <f>(H46+G46+F46+E46)*C54</f>
        <v>0</v>
      </c>
      <c r="I54" s="371">
        <f>(I46+H46+G46+F46+E46)*C54</f>
        <v>0</v>
      </c>
      <c r="J54" s="371">
        <f>(J46+I46+H46+G46+F46+E46)*C54</f>
        <v>0</v>
      </c>
      <c r="K54" s="371">
        <f>(K46+J46+I46+H46+G46+F46+E46)*C54</f>
        <v>0</v>
      </c>
      <c r="L54" s="372">
        <f>(L46+K46+J46+I46+H46+G46+F46+E46)*C54</f>
        <v>0</v>
      </c>
      <c r="M54" s="774"/>
      <c r="N54" s="317"/>
    </row>
    <row r="55" spans="1:15" x14ac:dyDescent="0.25">
      <c r="A55" s="373" t="s">
        <v>112</v>
      </c>
      <c r="B55" s="374" t="s">
        <v>129</v>
      </c>
      <c r="C55" s="714"/>
      <c r="D55" s="375">
        <f>SUM(E55:L55)</f>
        <v>0</v>
      </c>
      <c r="E55" s="376">
        <f>E43*C55</f>
        <v>0</v>
      </c>
      <c r="F55" s="376">
        <f>(F43+E43)*C55</f>
        <v>0</v>
      </c>
      <c r="G55" s="376">
        <f>(G43+F43+E43)*C55</f>
        <v>0</v>
      </c>
      <c r="H55" s="376">
        <f>(H43+G43+F43+E43)*C55</f>
        <v>0</v>
      </c>
      <c r="I55" s="376">
        <f>(I43+H43+G43+F43+E43)*C55</f>
        <v>0</v>
      </c>
      <c r="J55" s="376">
        <f>(J43+I43+H43+G43+F43+E43)*C55</f>
        <v>0</v>
      </c>
      <c r="K55" s="376">
        <f>(K43+J43+I43+H43+G43+F43+E43)*C55</f>
        <v>0</v>
      </c>
      <c r="L55" s="377">
        <f>(L43+K43+J43+I43+H43+G43+F43+E43)*C55</f>
        <v>0</v>
      </c>
      <c r="M55" s="774"/>
    </row>
    <row r="56" spans="1:15" x14ac:dyDescent="0.25">
      <c r="A56" s="739" t="s">
        <v>356</v>
      </c>
      <c r="B56" s="740"/>
      <c r="C56" s="741"/>
      <c r="D56" s="742">
        <f>SUM(E56:L56)</f>
        <v>0</v>
      </c>
      <c r="E56" s="380">
        <f>SUMPRODUCT(E47:E53,C47:C53)</f>
        <v>0</v>
      </c>
      <c r="F56" s="380">
        <f>SUM(E49:F49)*C49+SUM(E50:F50)*C50+SUM(E51:F51)*C51+SUM(E52:F52)*C52+SUM(E53:F53)*C53+SUM(E48:F48)*C48+SUM(E47:F47)*C47</f>
        <v>0</v>
      </c>
      <c r="G56" s="380">
        <f>SUM(E49:G49)*C49+SUM(E50:G50)*C50+SUM(E51:G51)*C51+SUM(E52:G52)*C52+SUM(E53:G53)*C53+SUM(E48:G48)*C48+SUM(E47:G47)*C47</f>
        <v>0</v>
      </c>
      <c r="H56" s="380">
        <f>SUM(E49:H49)*C49+SUM(E50:H50)*C50+SUM(E51:H51)*C51+SUM(E52:H52)*C52+SUM(E53:H53)*C53+SUM(E48:H48)*C48+SUM(E47:H47)*C47</f>
        <v>0</v>
      </c>
      <c r="I56" s="380">
        <f>SUM(E49:I49)*C49+SUM(E50:I50)*C50+SUM(E51:I51)*C51+SUM(E52:I52)*C52+SUM(E53:I53)*C53+SUM(E48:I48)*C48+SUM(E47:I47)*C47</f>
        <v>0</v>
      </c>
      <c r="J56" s="380">
        <f>SUM(E49:J49)*C49+SUM(E50:J50)*C50+SUM(E51:J51)*C51+SUM(E52:J52)*C52+SUM(E53:J53)*C53+SUM(E48:J48)*C48+SUM(E47:J47)*C47</f>
        <v>0</v>
      </c>
      <c r="K56" s="380">
        <f>SUM(E49:K49)*C49+SUM(E50:K50)*C50+SUM(E51:K51)*C51+SUM(E52:K52)*C52+SUM(E53:K53)*C53+SUM(E48:K48)*C48+SUM(E47:K47)*C47</f>
        <v>0</v>
      </c>
      <c r="L56" s="743">
        <f>SUM(E49:L49)*C49+SUM(E50:L50)*C50+SUM(E51:L51)*C51+SUM(E52:L52)*C52+SUM(E53:L53)*C53+SUM(E48:L48)*C48+SUM(E47:L47)*C47</f>
        <v>0</v>
      </c>
      <c r="M56" s="774"/>
    </row>
    <row r="57" spans="1:15" x14ac:dyDescent="0.25">
      <c r="A57" s="253"/>
      <c r="B57" s="317"/>
      <c r="C57" s="316"/>
      <c r="D57" s="378"/>
      <c r="F57" s="379"/>
      <c r="G57" s="379"/>
      <c r="H57" s="379"/>
      <c r="I57" s="379"/>
      <c r="J57" s="379"/>
      <c r="K57" s="379"/>
    </row>
    <row r="58" spans="1:15" hidden="1" outlineLevel="1" x14ac:dyDescent="0.25">
      <c r="A58" s="333" t="s">
        <v>25</v>
      </c>
      <c r="B58" s="334"/>
      <c r="C58" s="334"/>
      <c r="D58" s="335">
        <f>'Panoramica SP'!B29</f>
        <v>0</v>
      </c>
      <c r="E58" s="337">
        <f>SUM(E59:E60)+E61</f>
        <v>0</v>
      </c>
      <c r="F58" s="337">
        <f t="shared" ref="F58" si="35">SUM(F59:F60)+F61</f>
        <v>0</v>
      </c>
      <c r="G58" s="337">
        <f t="shared" ref="G58" si="36">SUM(G59:G60)+G61</f>
        <v>0</v>
      </c>
      <c r="H58" s="337">
        <f t="shared" ref="H58" si="37">SUM(H59:H60)+H61</f>
        <v>0</v>
      </c>
      <c r="I58" s="337">
        <f t="shared" ref="I58" si="38">SUM(I59:I60)+I61</f>
        <v>0</v>
      </c>
      <c r="J58" s="337">
        <f t="shared" ref="J58" si="39">SUM(J59:J60)+J61</f>
        <v>0</v>
      </c>
      <c r="K58" s="337">
        <f t="shared" ref="K58" si="40">SUM(K59:K60)+K61</f>
        <v>0</v>
      </c>
      <c r="L58" s="337">
        <f>SUM(L59:L60)+L61</f>
        <v>0</v>
      </c>
      <c r="M58" s="775" t="str">
        <f>IF(SUM(E58:L58)='Panoramica SP'!B29,"corretto","non è coerente")</f>
        <v>corretto</v>
      </c>
      <c r="N58" s="336">
        <f>SUM(E58:L58)</f>
        <v>0</v>
      </c>
      <c r="O58" s="338">
        <f>SUM(O59:O68)</f>
        <v>0</v>
      </c>
    </row>
    <row r="59" spans="1:15" hidden="1" outlineLevel="1" x14ac:dyDescent="0.25">
      <c r="A59" s="276"/>
      <c r="B59" s="339" t="s">
        <v>126</v>
      </c>
      <c r="C59" s="340">
        <v>0</v>
      </c>
      <c r="D59" s="172">
        <f>'Panoramica SP'!T29</f>
        <v>0</v>
      </c>
      <c r="E59" s="342"/>
      <c r="F59" s="343"/>
      <c r="G59" s="343"/>
      <c r="H59" s="343"/>
      <c r="I59" s="343"/>
      <c r="J59" s="343"/>
      <c r="K59" s="343"/>
      <c r="L59" s="344">
        <f>IFERROR(D59*0.2,"")</f>
        <v>0</v>
      </c>
      <c r="M59" s="341" t="str">
        <f>IF(SUM(E59:L59)='Panoramica SP'!T29,"corretto","non è coerente")</f>
        <v>corretto</v>
      </c>
      <c r="N59" s="341">
        <f>SUM(E59:L59)</f>
        <v>0</v>
      </c>
      <c r="O59" s="345" t="str">
        <f>IFERROR(SUM(E59:L59)/$D$43,"N/A")</f>
        <v>N/A</v>
      </c>
    </row>
    <row r="60" spans="1:15" hidden="1" outlineLevel="1" x14ac:dyDescent="0.25">
      <c r="A60" s="276"/>
      <c r="B60" s="346" t="s">
        <v>130</v>
      </c>
      <c r="C60" s="347">
        <v>0</v>
      </c>
      <c r="D60" s="348"/>
      <c r="E60" s="350"/>
      <c r="F60" s="351"/>
      <c r="G60" s="351"/>
      <c r="H60" s="351"/>
      <c r="I60" s="351"/>
      <c r="J60" s="351"/>
      <c r="K60" s="351"/>
      <c r="L60" s="352"/>
      <c r="M60" s="349"/>
      <c r="N60" s="349">
        <f>SUM(E60:L60)</f>
        <v>0</v>
      </c>
      <c r="O60" s="345" t="str">
        <f>IFERROR(SUM(E60:L60)/$D$43,"N/A")</f>
        <v>N/A</v>
      </c>
    </row>
    <row r="61" spans="1:15" hidden="1" outlineLevel="1" x14ac:dyDescent="0.25">
      <c r="A61" s="192"/>
      <c r="B61" s="353"/>
      <c r="C61" s="354"/>
      <c r="D61" s="355"/>
      <c r="E61" s="357">
        <f>SUM(E62:E68)</f>
        <v>0</v>
      </c>
      <c r="F61" s="357">
        <f t="shared" ref="F61" si="41">SUM(F62:F68)</f>
        <v>0</v>
      </c>
      <c r="G61" s="357">
        <f t="shared" ref="G61" si="42">SUM(G62:G68)</f>
        <v>0</v>
      </c>
      <c r="H61" s="357">
        <f t="shared" ref="H61" si="43">SUM(H62:H68)</f>
        <v>0</v>
      </c>
      <c r="I61" s="357">
        <f t="shared" ref="I61" si="44">SUM(I62:I68)</f>
        <v>0</v>
      </c>
      <c r="J61" s="357">
        <f t="shared" ref="J61" si="45">SUM(J62:J68)</f>
        <v>0</v>
      </c>
      <c r="K61" s="357">
        <f t="shared" ref="K61:L61" si="46">SUM(K62:K68)</f>
        <v>0</v>
      </c>
      <c r="L61" s="357">
        <f t="shared" si="46"/>
        <v>0</v>
      </c>
      <c r="M61" s="356"/>
      <c r="N61" s="356"/>
      <c r="O61" s="345"/>
    </row>
    <row r="62" spans="1:15" hidden="1" outlineLevel="1" x14ac:dyDescent="0.25">
      <c r="A62" s="276"/>
      <c r="B62" s="360" t="s">
        <v>251</v>
      </c>
      <c r="C62" s="793"/>
      <c r="D62" s="770"/>
      <c r="E62" s="342"/>
      <c r="F62" s="343"/>
      <c r="G62" s="343"/>
      <c r="H62" s="343"/>
      <c r="I62" s="343"/>
      <c r="J62" s="343"/>
      <c r="K62" s="343"/>
      <c r="L62" s="344"/>
      <c r="M62" s="361"/>
      <c r="N62" s="361">
        <f t="shared" ref="N62:N68" si="47">SUM(E62:L62)</f>
        <v>0</v>
      </c>
      <c r="O62" s="345" t="str">
        <f t="shared" ref="O62:O68" si="48">IFERROR(SUM(E62:L62)/$D$43,"N/A")</f>
        <v>N/A</v>
      </c>
    </row>
    <row r="63" spans="1:15" hidden="1" outlineLevel="1" x14ac:dyDescent="0.25">
      <c r="A63" s="276"/>
      <c r="B63" s="362"/>
      <c r="C63" s="794"/>
      <c r="D63" s="771"/>
      <c r="E63" s="364"/>
      <c r="F63" s="365"/>
      <c r="G63" s="365"/>
      <c r="H63" s="365"/>
      <c r="I63" s="365"/>
      <c r="J63" s="365"/>
      <c r="K63" s="365"/>
      <c r="L63" s="366"/>
      <c r="M63" s="363"/>
      <c r="N63" s="363">
        <f t="shared" si="47"/>
        <v>0</v>
      </c>
      <c r="O63" s="345" t="str">
        <f t="shared" si="48"/>
        <v>N/A</v>
      </c>
    </row>
    <row r="64" spans="1:15" hidden="1" outlineLevel="1" x14ac:dyDescent="0.25">
      <c r="A64" s="276"/>
      <c r="B64" s="362"/>
      <c r="C64" s="794"/>
      <c r="D64" s="771"/>
      <c r="E64" s="364"/>
      <c r="F64" s="365"/>
      <c r="G64" s="365"/>
      <c r="H64" s="365"/>
      <c r="I64" s="365"/>
      <c r="J64" s="365"/>
      <c r="K64" s="365"/>
      <c r="L64" s="366"/>
      <c r="M64" s="363"/>
      <c r="N64" s="363">
        <f t="shared" si="47"/>
        <v>0</v>
      </c>
      <c r="O64" s="345" t="str">
        <f t="shared" si="48"/>
        <v>N/A</v>
      </c>
    </row>
    <row r="65" spans="1:15" hidden="1" outlineLevel="1" x14ac:dyDescent="0.25">
      <c r="A65" s="276"/>
      <c r="B65" s="362"/>
      <c r="C65" s="794"/>
      <c r="D65" s="771"/>
      <c r="E65" s="364"/>
      <c r="F65" s="365"/>
      <c r="G65" s="365"/>
      <c r="H65" s="365"/>
      <c r="I65" s="365"/>
      <c r="J65" s="365"/>
      <c r="K65" s="365"/>
      <c r="L65" s="366"/>
      <c r="M65" s="363"/>
      <c r="N65" s="363">
        <f t="shared" si="47"/>
        <v>0</v>
      </c>
      <c r="O65" s="345" t="str">
        <f t="shared" si="48"/>
        <v>N/A</v>
      </c>
    </row>
    <row r="66" spans="1:15" hidden="1" outlineLevel="1" x14ac:dyDescent="0.25">
      <c r="A66" s="276"/>
      <c r="B66" s="362" t="s">
        <v>251</v>
      </c>
      <c r="C66" s="794"/>
      <c r="D66" s="771"/>
      <c r="E66" s="364"/>
      <c r="F66" s="365"/>
      <c r="G66" s="365"/>
      <c r="H66" s="365"/>
      <c r="I66" s="365"/>
      <c r="J66" s="365"/>
      <c r="K66" s="365"/>
      <c r="L66" s="366"/>
      <c r="M66" s="363"/>
      <c r="N66" s="363">
        <f t="shared" si="47"/>
        <v>0</v>
      </c>
      <c r="O66" s="345" t="str">
        <f t="shared" si="48"/>
        <v>N/A</v>
      </c>
    </row>
    <row r="67" spans="1:15" hidden="1" outlineLevel="1" x14ac:dyDescent="0.25">
      <c r="A67" s="276"/>
      <c r="B67" s="362"/>
      <c r="C67" s="794"/>
      <c r="D67" s="772"/>
      <c r="E67" s="364"/>
      <c r="F67" s="365"/>
      <c r="G67" s="365"/>
      <c r="H67" s="365"/>
      <c r="I67" s="365"/>
      <c r="J67" s="365"/>
      <c r="K67" s="365"/>
      <c r="L67" s="366"/>
      <c r="M67" s="363"/>
      <c r="N67" s="363">
        <f t="shared" si="47"/>
        <v>0</v>
      </c>
      <c r="O67" s="345" t="str">
        <f t="shared" si="48"/>
        <v>N/A</v>
      </c>
    </row>
    <row r="68" spans="1:15" hidden="1" outlineLevel="1" x14ac:dyDescent="0.25">
      <c r="A68" s="282"/>
      <c r="B68" s="367"/>
      <c r="C68" s="795"/>
      <c r="D68" s="773"/>
      <c r="E68" s="350"/>
      <c r="F68" s="351"/>
      <c r="G68" s="351"/>
      <c r="H68" s="351"/>
      <c r="I68" s="351"/>
      <c r="J68" s="351"/>
      <c r="K68" s="351"/>
      <c r="L68" s="352"/>
      <c r="M68" s="368"/>
      <c r="N68" s="368">
        <f t="shared" si="47"/>
        <v>0</v>
      </c>
      <c r="O68" s="345" t="str">
        <f t="shared" si="48"/>
        <v>N/A</v>
      </c>
    </row>
    <row r="69" spans="1:15" hidden="1" outlineLevel="1" x14ac:dyDescent="0.25">
      <c r="A69" s="369" t="s">
        <v>111</v>
      </c>
      <c r="B69" s="738" t="s">
        <v>283</v>
      </c>
      <c r="C69" s="744"/>
      <c r="D69" s="370">
        <f>SUM(E69:L69)</f>
        <v>0</v>
      </c>
      <c r="E69" s="371">
        <f>E61*C69</f>
        <v>0</v>
      </c>
      <c r="F69" s="371">
        <f>(F61+E61)*C69</f>
        <v>0</v>
      </c>
      <c r="G69" s="371">
        <f>(G61+F61+E61)*C69</f>
        <v>0</v>
      </c>
      <c r="H69" s="371">
        <f>(H61+G61+F61+E61)*C69</f>
        <v>0</v>
      </c>
      <c r="I69" s="371">
        <f>(I61+H61+G61+F61+E61)*C69</f>
        <v>0</v>
      </c>
      <c r="J69" s="371">
        <f>(J61+I61+H61+G61+F61+E61)*C69</f>
        <v>0</v>
      </c>
      <c r="K69" s="371">
        <f>(K61+J61+I61+H61+G61+F61+E61)*C69</f>
        <v>0</v>
      </c>
      <c r="L69" s="372">
        <f>(L61+K61+J61+I61+H61+G61+F61+E61)*C69</f>
        <v>0</v>
      </c>
      <c r="M69" s="774"/>
      <c r="N69" s="317"/>
    </row>
    <row r="70" spans="1:15" hidden="1" outlineLevel="1" x14ac:dyDescent="0.25">
      <c r="A70" s="373" t="s">
        <v>112</v>
      </c>
      <c r="B70" s="374" t="s">
        <v>129</v>
      </c>
      <c r="C70" s="714"/>
      <c r="D70" s="375">
        <f>SUM(E70:L70)</f>
        <v>0</v>
      </c>
      <c r="E70" s="376">
        <f>E58*C70</f>
        <v>0</v>
      </c>
      <c r="F70" s="376">
        <f>(F58+E58)*C70</f>
        <v>0</v>
      </c>
      <c r="G70" s="376">
        <f>(G58+F58+E58)*C70</f>
        <v>0</v>
      </c>
      <c r="H70" s="376">
        <f>(H58+G58+F58+E58)*C70</f>
        <v>0</v>
      </c>
      <c r="I70" s="376">
        <f>(I58+H58+G58+F58+E58)*C70</f>
        <v>0</v>
      </c>
      <c r="J70" s="376">
        <f>(J58+I58+H58+G58+F58+E58)*C70</f>
        <v>0</v>
      </c>
      <c r="K70" s="376">
        <f>(K58+J58+I58+H58+G58+F58+E58)*C70</f>
        <v>0</v>
      </c>
      <c r="L70" s="377">
        <f>(L58+K58+J58+I58+H58+G58+F58+E58)*C70</f>
        <v>0</v>
      </c>
      <c r="M70" s="774"/>
    </row>
    <row r="71" spans="1:15" hidden="1" outlineLevel="1" x14ac:dyDescent="0.25">
      <c r="A71" s="739" t="s">
        <v>356</v>
      </c>
      <c r="B71" s="740"/>
      <c r="C71" s="741"/>
      <c r="D71" s="742">
        <f>SUM(E71:L71)</f>
        <v>0</v>
      </c>
      <c r="E71" s="380">
        <f>SUMPRODUCT(E62:E68,C62:C68)</f>
        <v>0</v>
      </c>
      <c r="F71" s="380">
        <f>SUM(E64:F64)*C64+SUM(E65:F65)*C65+SUM(E66:F66)*C66+SUM(E67:F67)*C67+SUM(E68:F68)*C68+SUM(E63:F63)*C63+SUM(E62:F62)*C62</f>
        <v>0</v>
      </c>
      <c r="G71" s="380">
        <f>SUM(E64:G64)*C64+SUM(E65:G65)*C65+SUM(E66:G66)*C66+SUM(E67:G67)*C67+SUM(E68:G68)*C68+SUM(E63:G63)*C63+SUM(E62:G62)*C62</f>
        <v>0</v>
      </c>
      <c r="H71" s="380">
        <f>SUM(E64:H64)*C64+SUM(E65:H65)*C65+SUM(E66:H66)*C66+SUM(E67:H67)*C67+SUM(E68:H68)*C68+SUM(E63:H63)*C63+SUM(E62:H62)*C62</f>
        <v>0</v>
      </c>
      <c r="I71" s="380">
        <f>SUM(E64:I64)*C64+SUM(E65:I65)*C65+SUM(E66:I66)*C66+SUM(E67:I67)*C67+SUM(E68:I68)*C68+SUM(E63:I63)*C63+SUM(E62:I62)*C62</f>
        <v>0</v>
      </c>
      <c r="J71" s="380">
        <f>SUM(E64:J64)*C64+SUM(E65:J65)*C65+SUM(E66:J66)*C66+SUM(E67:J67)*C67+SUM(E68:J68)*C68+SUM(E63:J63)*C63+SUM(E62:J62)*C62</f>
        <v>0</v>
      </c>
      <c r="K71" s="380">
        <f>SUM(E64:K64)*C64+SUM(E65:K65)*C65+SUM(E66:K66)*C66+SUM(E67:K67)*C67+SUM(E68:K68)*C68+SUM(E63:K63)*C63+SUM(E62:K62)*C62</f>
        <v>0</v>
      </c>
      <c r="L71" s="743">
        <f>SUM(E64:L64)*C64+SUM(E65:L65)*C65+SUM(E66:L66)*C66+SUM(E67:L67)*C67+SUM(E68:L68)*C68+SUM(E63:L63)*C63+SUM(E62:L62)*C62</f>
        <v>0</v>
      </c>
      <c r="M71" s="774"/>
    </row>
    <row r="72" spans="1:15" hidden="1" outlineLevel="1" x14ac:dyDescent="0.25">
      <c r="A72" s="253"/>
      <c r="B72" s="317"/>
      <c r="C72" s="316"/>
      <c r="D72" s="378"/>
      <c r="F72" s="379"/>
      <c r="G72" s="379"/>
      <c r="H72" s="379"/>
      <c r="I72" s="379"/>
      <c r="J72" s="379"/>
      <c r="K72" s="379"/>
    </row>
    <row r="73" spans="1:15" hidden="1" outlineLevel="1" x14ac:dyDescent="0.25">
      <c r="A73" s="333" t="s">
        <v>26</v>
      </c>
      <c r="B73" s="334"/>
      <c r="C73" s="334"/>
      <c r="D73" s="335">
        <f>'Panoramica SP'!B30</f>
        <v>0</v>
      </c>
      <c r="E73" s="337">
        <f>SUM(E74:E75)+E76</f>
        <v>0</v>
      </c>
      <c r="F73" s="337">
        <f t="shared" ref="F73" si="49">SUM(F74:F75)+F76</f>
        <v>0</v>
      </c>
      <c r="G73" s="337">
        <f t="shared" ref="G73" si="50">SUM(G74:G75)+G76</f>
        <v>0</v>
      </c>
      <c r="H73" s="337">
        <f t="shared" ref="H73" si="51">SUM(H74:H75)+H76</f>
        <v>0</v>
      </c>
      <c r="I73" s="337">
        <f t="shared" ref="I73" si="52">SUM(I74:I75)+I76</f>
        <v>0</v>
      </c>
      <c r="J73" s="337">
        <f t="shared" ref="J73" si="53">SUM(J74:J75)+J76</f>
        <v>0</v>
      </c>
      <c r="K73" s="337">
        <f t="shared" ref="K73" si="54">SUM(K74:K75)+K76</f>
        <v>0</v>
      </c>
      <c r="L73" s="337">
        <f>SUM(L74:L75)+L76</f>
        <v>0</v>
      </c>
      <c r="M73" s="775" t="str">
        <f>IF(SUM(E73:L73)='Panoramica SP'!B30,"corretto","non è coerente")</f>
        <v>corretto</v>
      </c>
      <c r="N73" s="336">
        <f>SUM(E73:L73)</f>
        <v>0</v>
      </c>
      <c r="O73" s="338">
        <f>SUM(O74:O83)</f>
        <v>0</v>
      </c>
    </row>
    <row r="74" spans="1:15" hidden="1" outlineLevel="1" x14ac:dyDescent="0.25">
      <c r="A74" s="276"/>
      <c r="B74" s="339" t="s">
        <v>126</v>
      </c>
      <c r="C74" s="340">
        <v>0</v>
      </c>
      <c r="D74" s="172">
        <f>'Panoramica SP'!T30</f>
        <v>0</v>
      </c>
      <c r="E74" s="342"/>
      <c r="F74" s="343"/>
      <c r="G74" s="343"/>
      <c r="H74" s="343"/>
      <c r="I74" s="343"/>
      <c r="J74" s="343"/>
      <c r="K74" s="343"/>
      <c r="L74" s="344">
        <f>IFERROR(D74*0.2,"")</f>
        <v>0</v>
      </c>
      <c r="M74" s="341" t="str">
        <f>IF(SUM(E74:L74)='Panoramica SP'!T30,"corretto","non è coerente")</f>
        <v>corretto</v>
      </c>
      <c r="N74" s="341">
        <f>SUM(E74:L74)</f>
        <v>0</v>
      </c>
      <c r="O74" s="345" t="str">
        <f>IFERROR(SUM(E74:L74)/$D$43,"N/A")</f>
        <v>N/A</v>
      </c>
    </row>
    <row r="75" spans="1:15" hidden="1" outlineLevel="1" x14ac:dyDescent="0.25">
      <c r="A75" s="276"/>
      <c r="B75" s="346" t="s">
        <v>130</v>
      </c>
      <c r="C75" s="347">
        <v>0</v>
      </c>
      <c r="D75" s="348"/>
      <c r="E75" s="350"/>
      <c r="F75" s="351"/>
      <c r="G75" s="351"/>
      <c r="H75" s="351"/>
      <c r="I75" s="351"/>
      <c r="J75" s="351"/>
      <c r="K75" s="351"/>
      <c r="L75" s="352"/>
      <c r="M75" s="349"/>
      <c r="N75" s="349">
        <f>SUM(E75:L75)</f>
        <v>0</v>
      </c>
      <c r="O75" s="345" t="str">
        <f>IFERROR(SUM(E75:L75)/$D$43,"N/A")</f>
        <v>N/A</v>
      </c>
    </row>
    <row r="76" spans="1:15" hidden="1" outlineLevel="1" x14ac:dyDescent="0.25">
      <c r="A76" s="192"/>
      <c r="B76" s="353"/>
      <c r="C76" s="354"/>
      <c r="D76" s="355"/>
      <c r="E76" s="357">
        <f>SUM(E77:E83)</f>
        <v>0</v>
      </c>
      <c r="F76" s="357">
        <f t="shared" ref="F76" si="55">SUM(F77:F83)</f>
        <v>0</v>
      </c>
      <c r="G76" s="357">
        <f t="shared" ref="G76" si="56">SUM(G77:G83)</f>
        <v>0</v>
      </c>
      <c r="H76" s="357">
        <f t="shared" ref="H76" si="57">SUM(H77:H83)</f>
        <v>0</v>
      </c>
      <c r="I76" s="357">
        <f t="shared" ref="I76" si="58">SUM(I77:I83)</f>
        <v>0</v>
      </c>
      <c r="J76" s="357">
        <f t="shared" ref="J76" si="59">SUM(J77:J83)</f>
        <v>0</v>
      </c>
      <c r="K76" s="357">
        <f t="shared" ref="K76:L76" si="60">SUM(K77:K83)</f>
        <v>0</v>
      </c>
      <c r="L76" s="357">
        <f t="shared" si="60"/>
        <v>0</v>
      </c>
      <c r="M76" s="356"/>
      <c r="N76" s="356"/>
      <c r="O76" s="345"/>
    </row>
    <row r="77" spans="1:15" hidden="1" outlineLevel="1" x14ac:dyDescent="0.25">
      <c r="A77" s="276"/>
      <c r="B77" s="360" t="s">
        <v>251</v>
      </c>
      <c r="C77" s="793"/>
      <c r="D77" s="770"/>
      <c r="E77" s="342"/>
      <c r="F77" s="343"/>
      <c r="G77" s="343"/>
      <c r="H77" s="343"/>
      <c r="I77" s="343"/>
      <c r="J77" s="343"/>
      <c r="K77" s="343"/>
      <c r="L77" s="344"/>
      <c r="M77" s="361"/>
      <c r="N77" s="361">
        <f t="shared" ref="N77:N83" si="61">SUM(E77:L77)</f>
        <v>0</v>
      </c>
      <c r="O77" s="345" t="str">
        <f t="shared" ref="O77:O83" si="62">IFERROR(SUM(E77:L77)/$D$43,"N/A")</f>
        <v>N/A</v>
      </c>
    </row>
    <row r="78" spans="1:15" hidden="1" outlineLevel="1" x14ac:dyDescent="0.25">
      <c r="A78" s="276"/>
      <c r="B78" s="362"/>
      <c r="C78" s="794"/>
      <c r="D78" s="771"/>
      <c r="E78" s="364"/>
      <c r="F78" s="365"/>
      <c r="G78" s="365"/>
      <c r="H78" s="365"/>
      <c r="I78" s="365"/>
      <c r="J78" s="365"/>
      <c r="K78" s="365"/>
      <c r="L78" s="366"/>
      <c r="M78" s="363"/>
      <c r="N78" s="363">
        <f t="shared" si="61"/>
        <v>0</v>
      </c>
      <c r="O78" s="345" t="str">
        <f t="shared" si="62"/>
        <v>N/A</v>
      </c>
    </row>
    <row r="79" spans="1:15" hidden="1" outlineLevel="1" x14ac:dyDescent="0.25">
      <c r="A79" s="276"/>
      <c r="B79" s="362"/>
      <c r="C79" s="794"/>
      <c r="D79" s="771"/>
      <c r="E79" s="364"/>
      <c r="F79" s="365"/>
      <c r="G79" s="365"/>
      <c r="H79" s="365"/>
      <c r="I79" s="365"/>
      <c r="J79" s="365"/>
      <c r="K79" s="365"/>
      <c r="L79" s="366"/>
      <c r="M79" s="363"/>
      <c r="N79" s="363">
        <f t="shared" si="61"/>
        <v>0</v>
      </c>
      <c r="O79" s="345" t="str">
        <f t="shared" si="62"/>
        <v>N/A</v>
      </c>
    </row>
    <row r="80" spans="1:15" hidden="1" outlineLevel="1" x14ac:dyDescent="0.25">
      <c r="A80" s="276"/>
      <c r="B80" s="362"/>
      <c r="C80" s="794"/>
      <c r="D80" s="771"/>
      <c r="E80" s="364"/>
      <c r="F80" s="365"/>
      <c r="G80" s="365"/>
      <c r="H80" s="365"/>
      <c r="I80" s="365"/>
      <c r="J80" s="365"/>
      <c r="K80" s="365"/>
      <c r="L80" s="366"/>
      <c r="M80" s="363"/>
      <c r="N80" s="363">
        <f t="shared" si="61"/>
        <v>0</v>
      </c>
      <c r="O80" s="345" t="str">
        <f t="shared" si="62"/>
        <v>N/A</v>
      </c>
    </row>
    <row r="81" spans="1:15" hidden="1" outlineLevel="1" x14ac:dyDescent="0.25">
      <c r="A81" s="276"/>
      <c r="B81" s="362"/>
      <c r="C81" s="794"/>
      <c r="D81" s="771"/>
      <c r="E81" s="364"/>
      <c r="F81" s="365"/>
      <c r="G81" s="365"/>
      <c r="H81" s="365"/>
      <c r="I81" s="365"/>
      <c r="J81" s="365"/>
      <c r="K81" s="365"/>
      <c r="L81" s="366"/>
      <c r="M81" s="363"/>
      <c r="N81" s="363">
        <f t="shared" si="61"/>
        <v>0</v>
      </c>
      <c r="O81" s="345" t="str">
        <f t="shared" si="62"/>
        <v>N/A</v>
      </c>
    </row>
    <row r="82" spans="1:15" hidden="1" outlineLevel="1" x14ac:dyDescent="0.25">
      <c r="A82" s="276"/>
      <c r="B82" s="362"/>
      <c r="C82" s="794"/>
      <c r="D82" s="772"/>
      <c r="E82" s="364"/>
      <c r="F82" s="365"/>
      <c r="G82" s="365"/>
      <c r="H82" s="365"/>
      <c r="I82" s="365"/>
      <c r="J82" s="365"/>
      <c r="K82" s="365"/>
      <c r="L82" s="366"/>
      <c r="M82" s="363"/>
      <c r="N82" s="363">
        <f t="shared" si="61"/>
        <v>0</v>
      </c>
      <c r="O82" s="345" t="str">
        <f t="shared" si="62"/>
        <v>N/A</v>
      </c>
    </row>
    <row r="83" spans="1:15" hidden="1" outlineLevel="1" x14ac:dyDescent="0.25">
      <c r="A83" s="282"/>
      <c r="B83" s="367"/>
      <c r="C83" s="795"/>
      <c r="D83" s="773"/>
      <c r="E83" s="350"/>
      <c r="F83" s="351"/>
      <c r="G83" s="351"/>
      <c r="H83" s="351"/>
      <c r="I83" s="351"/>
      <c r="J83" s="351"/>
      <c r="K83" s="351"/>
      <c r="L83" s="352"/>
      <c r="M83" s="368"/>
      <c r="N83" s="368">
        <f t="shared" si="61"/>
        <v>0</v>
      </c>
      <c r="O83" s="345" t="str">
        <f t="shared" si="62"/>
        <v>N/A</v>
      </c>
    </row>
    <row r="84" spans="1:15" hidden="1" outlineLevel="1" x14ac:dyDescent="0.25">
      <c r="A84" s="369" t="s">
        <v>111</v>
      </c>
      <c r="B84" s="738" t="s">
        <v>283</v>
      </c>
      <c r="C84" s="744"/>
      <c r="D84" s="370">
        <f>SUM(E84:L84)</f>
        <v>0</v>
      </c>
      <c r="E84" s="371">
        <f>E76*C84</f>
        <v>0</v>
      </c>
      <c r="F84" s="371">
        <f>(F76+E76)*C84</f>
        <v>0</v>
      </c>
      <c r="G84" s="371">
        <f>(G76+F76+E76)*C84</f>
        <v>0</v>
      </c>
      <c r="H84" s="371">
        <f>(H76+G76+F76+E76)*C84</f>
        <v>0</v>
      </c>
      <c r="I84" s="371">
        <f>(I76+H76+G76+F76+E76)*C84</f>
        <v>0</v>
      </c>
      <c r="J84" s="371">
        <f>(J76+I76+H76+G76+F76+E76)*C84</f>
        <v>0</v>
      </c>
      <c r="K84" s="371">
        <f>(K76+J76+I76+H76+G76+F76+E76)*C84</f>
        <v>0</v>
      </c>
      <c r="L84" s="372">
        <f>(L76+K76+J76+I76+H76+G76+F76+E76)*C84</f>
        <v>0</v>
      </c>
      <c r="M84" s="774"/>
      <c r="N84" s="317"/>
    </row>
    <row r="85" spans="1:15" hidden="1" outlineLevel="1" x14ac:dyDescent="0.25">
      <c r="A85" s="373" t="s">
        <v>112</v>
      </c>
      <c r="B85" s="374" t="s">
        <v>129</v>
      </c>
      <c r="C85" s="714"/>
      <c r="D85" s="375">
        <f>SUM(E85:L85)</f>
        <v>0</v>
      </c>
      <c r="E85" s="376">
        <f>E73*C85</f>
        <v>0</v>
      </c>
      <c r="F85" s="376">
        <f>(F73+E73)*C85</f>
        <v>0</v>
      </c>
      <c r="G85" s="376">
        <f>(G73+F73+E73)*C85</f>
        <v>0</v>
      </c>
      <c r="H85" s="376">
        <f>(H73+G73+F73+E73)*C85</f>
        <v>0</v>
      </c>
      <c r="I85" s="376">
        <f>(I73+H73+G73+F73+E73)*C85</f>
        <v>0</v>
      </c>
      <c r="J85" s="376">
        <f>(J73+I73+H73+G73+F73+E73)*C85</f>
        <v>0</v>
      </c>
      <c r="K85" s="376">
        <f>(K73+J73+I73+H73+G73+F73+E73)*C85</f>
        <v>0</v>
      </c>
      <c r="L85" s="377">
        <f>(L73+K73+J73+I73+H73+G73+F73+E73)*C85</f>
        <v>0</v>
      </c>
      <c r="M85" s="774"/>
    </row>
    <row r="86" spans="1:15" hidden="1" outlineLevel="1" x14ac:dyDescent="0.25">
      <c r="A86" s="739" t="s">
        <v>356</v>
      </c>
      <c r="B86" s="740"/>
      <c r="C86" s="741"/>
      <c r="D86" s="742">
        <f>SUM(E86:L86)</f>
        <v>0</v>
      </c>
      <c r="E86" s="380">
        <f>SUMPRODUCT(E77:E83,C77:C83)</f>
        <v>0</v>
      </c>
      <c r="F86" s="380">
        <f>SUM(E79:F79)*C79+SUM(E80:F80)*C80+SUM(E81:F81)*C81+SUM(E82:F82)*C82+SUM(E83:F83)*C83+SUM(E78:F78)*C78+SUM(E77:F77)*C77</f>
        <v>0</v>
      </c>
      <c r="G86" s="380">
        <f>SUM(E79:G79)*C79+SUM(E80:G80)*C80+SUM(E81:G81)*C81+SUM(E82:G82)*C82+SUM(E83:G83)*C83+SUM(E78:G78)*C78+SUM(E77:G77)*C77</f>
        <v>0</v>
      </c>
      <c r="H86" s="380">
        <f>SUM(E79:H79)*C79+SUM(E80:H80)*C80+SUM(E81:H81)*C81+SUM(E82:H82)*C82+SUM(E83:H83)*C83+SUM(E78:H78)*C78+SUM(E77:H77)*C77</f>
        <v>0</v>
      </c>
      <c r="I86" s="380">
        <f>SUM(E79:I79)*C79+SUM(E80:I80)*C80+SUM(E81:I81)*C81+SUM(E82:I82)*C82+SUM(E83:I83)*C83+SUM(E78:I78)*C78+SUM(E77:I77)*C77</f>
        <v>0</v>
      </c>
      <c r="J86" s="380">
        <f>SUM(E79:J79)*C79+SUM(E80:J80)*C80+SUM(E81:J81)*C81+SUM(E82:J82)*C82+SUM(E83:J83)*C83+SUM(E78:J78)*C78+SUM(E77:J77)*C77</f>
        <v>0</v>
      </c>
      <c r="K86" s="380">
        <f>SUM(E79:K79)*C79+SUM(E80:K80)*C80+SUM(E81:K81)*C81+SUM(E82:K82)*C82+SUM(E83:K83)*C83+SUM(E78:K78)*C78+SUM(E77:K77)*C77</f>
        <v>0</v>
      </c>
      <c r="L86" s="743">
        <f>SUM(E79:L79)*C79+SUM(E80:L80)*C80+SUM(E81:L81)*C81+SUM(E82:L82)*C82+SUM(E83:L83)*C83+SUM(E78:L78)*C78+SUM(E77:L77)*C77</f>
        <v>0</v>
      </c>
      <c r="M86" s="774"/>
    </row>
    <row r="87" spans="1:15" hidden="1" outlineLevel="1" x14ac:dyDescent="0.25">
      <c r="A87" s="253"/>
      <c r="B87" s="317"/>
      <c r="C87" s="316"/>
      <c r="D87" s="378"/>
      <c r="F87" s="379"/>
      <c r="G87" s="379"/>
      <c r="H87" s="379"/>
      <c r="I87" s="379"/>
      <c r="J87" s="379"/>
      <c r="K87" s="379"/>
    </row>
    <row r="88" spans="1:15" hidden="1" outlineLevel="1" x14ac:dyDescent="0.25">
      <c r="A88" s="333" t="s">
        <v>27</v>
      </c>
      <c r="B88" s="334"/>
      <c r="C88" s="334"/>
      <c r="D88" s="335"/>
      <c r="E88" s="337">
        <f>SUM(E89:E90)+E91</f>
        <v>0</v>
      </c>
      <c r="F88" s="337">
        <f t="shared" ref="F88" si="63">SUM(F89:F90)+F91</f>
        <v>0</v>
      </c>
      <c r="G88" s="337">
        <f t="shared" ref="G88" si="64">SUM(G89:G90)+G91</f>
        <v>0</v>
      </c>
      <c r="H88" s="337">
        <f t="shared" ref="H88:K88" si="65">SUM(H89:H90)+H91</f>
        <v>0</v>
      </c>
      <c r="I88" s="337">
        <f t="shared" si="65"/>
        <v>0</v>
      </c>
      <c r="J88" s="337">
        <f t="shared" si="65"/>
        <v>0</v>
      </c>
      <c r="K88" s="337">
        <f t="shared" si="65"/>
        <v>0</v>
      </c>
      <c r="L88" s="337">
        <f>SUM(L89:L90)+L91</f>
        <v>0</v>
      </c>
      <c r="M88" s="775" t="str">
        <f>IF(SUM(E88:L88)='Panoramica SP'!B31,"corretto","non è coerente")</f>
        <v>corretto</v>
      </c>
      <c r="N88" s="336">
        <f>SUM(E88:L88)</f>
        <v>0</v>
      </c>
      <c r="O88" s="338">
        <f>SUM(O89:O98)</f>
        <v>0</v>
      </c>
    </row>
    <row r="89" spans="1:15" hidden="1" outlineLevel="1" x14ac:dyDescent="0.25">
      <c r="A89" s="276"/>
      <c r="B89" s="339" t="s">
        <v>126</v>
      </c>
      <c r="C89" s="340">
        <v>0</v>
      </c>
      <c r="D89" s="172">
        <f>'Panoramica SP'!T31</f>
        <v>0</v>
      </c>
      <c r="E89" s="342"/>
      <c r="F89" s="343"/>
      <c r="G89" s="343"/>
      <c r="H89" s="343"/>
      <c r="I89" s="343"/>
      <c r="J89" s="343"/>
      <c r="K89" s="343"/>
      <c r="L89" s="344">
        <f>IFERROR(D89*0.2,"")</f>
        <v>0</v>
      </c>
      <c r="M89" s="341" t="str">
        <f>IF(SUM(E89:L89)='Panoramica SP'!T31,"corretto","non è coerente")</f>
        <v>corretto</v>
      </c>
      <c r="N89" s="341">
        <f>SUM(E89:L89)</f>
        <v>0</v>
      </c>
      <c r="O89" s="345" t="str">
        <f>IFERROR(SUM(E89:L89)/$D$43,"N/A")</f>
        <v>N/A</v>
      </c>
    </row>
    <row r="90" spans="1:15" hidden="1" outlineLevel="1" x14ac:dyDescent="0.25">
      <c r="A90" s="276"/>
      <c r="B90" s="346" t="s">
        <v>130</v>
      </c>
      <c r="C90" s="347">
        <v>0</v>
      </c>
      <c r="D90" s="348"/>
      <c r="E90" s="350"/>
      <c r="F90" s="351"/>
      <c r="G90" s="351"/>
      <c r="H90" s="351"/>
      <c r="I90" s="351"/>
      <c r="J90" s="351"/>
      <c r="K90" s="351"/>
      <c r="L90" s="352"/>
      <c r="M90" s="349"/>
      <c r="N90" s="349">
        <f>SUM(E90:L90)</f>
        <v>0</v>
      </c>
      <c r="O90" s="345" t="str">
        <f>IFERROR(SUM(E90:L90)/$D$43,"N/A")</f>
        <v>N/A</v>
      </c>
    </row>
    <row r="91" spans="1:15" hidden="1" outlineLevel="1" x14ac:dyDescent="0.25">
      <c r="A91" s="192"/>
      <c r="B91" s="353"/>
      <c r="C91" s="354"/>
      <c r="D91" s="355"/>
      <c r="E91" s="357">
        <f>SUM(E92:E98)</f>
        <v>0</v>
      </c>
      <c r="F91" s="357">
        <f t="shared" ref="F91:L91" si="66">SUM(F92:F98)</f>
        <v>0</v>
      </c>
      <c r="G91" s="357">
        <f t="shared" si="66"/>
        <v>0</v>
      </c>
      <c r="H91" s="357">
        <f t="shared" si="66"/>
        <v>0</v>
      </c>
      <c r="I91" s="357">
        <f t="shared" si="66"/>
        <v>0</v>
      </c>
      <c r="J91" s="357">
        <f t="shared" si="66"/>
        <v>0</v>
      </c>
      <c r="K91" s="357">
        <f t="shared" si="66"/>
        <v>0</v>
      </c>
      <c r="L91" s="357">
        <f t="shared" si="66"/>
        <v>0</v>
      </c>
      <c r="M91" s="356"/>
      <c r="N91" s="356"/>
      <c r="O91" s="345"/>
    </row>
    <row r="92" spans="1:15" hidden="1" outlineLevel="1" x14ac:dyDescent="0.25">
      <c r="A92" s="276"/>
      <c r="B92" s="360" t="s">
        <v>251</v>
      </c>
      <c r="C92" s="793"/>
      <c r="D92" s="770"/>
      <c r="E92" s="342"/>
      <c r="F92" s="343"/>
      <c r="G92" s="343"/>
      <c r="H92" s="343"/>
      <c r="I92" s="343"/>
      <c r="J92" s="343"/>
      <c r="K92" s="343"/>
      <c r="L92" s="344"/>
      <c r="M92" s="361"/>
      <c r="N92" s="361">
        <f t="shared" ref="N92:N98" si="67">SUM(E92:L92)</f>
        <v>0</v>
      </c>
      <c r="O92" s="345" t="str">
        <f t="shared" ref="O92:O98" si="68">IFERROR(SUM(E92:L92)/$D$43,"N/A")</f>
        <v>N/A</v>
      </c>
    </row>
    <row r="93" spans="1:15" hidden="1" outlineLevel="1" x14ac:dyDescent="0.25">
      <c r="A93" s="276"/>
      <c r="B93" s="362"/>
      <c r="C93" s="794"/>
      <c r="D93" s="771"/>
      <c r="E93" s="364"/>
      <c r="F93" s="365"/>
      <c r="G93" s="365"/>
      <c r="H93" s="365"/>
      <c r="I93" s="365"/>
      <c r="J93" s="365"/>
      <c r="K93" s="365"/>
      <c r="L93" s="366"/>
      <c r="M93" s="363"/>
      <c r="N93" s="363">
        <f t="shared" si="67"/>
        <v>0</v>
      </c>
      <c r="O93" s="345" t="str">
        <f t="shared" si="68"/>
        <v>N/A</v>
      </c>
    </row>
    <row r="94" spans="1:15" hidden="1" outlineLevel="1" x14ac:dyDescent="0.25">
      <c r="A94" s="276"/>
      <c r="B94" s="362"/>
      <c r="C94" s="794"/>
      <c r="D94" s="771"/>
      <c r="E94" s="364"/>
      <c r="F94" s="365"/>
      <c r="G94" s="365"/>
      <c r="H94" s="365"/>
      <c r="I94" s="365"/>
      <c r="J94" s="365"/>
      <c r="K94" s="365"/>
      <c r="L94" s="366"/>
      <c r="M94" s="363"/>
      <c r="N94" s="363">
        <f t="shared" si="67"/>
        <v>0</v>
      </c>
      <c r="O94" s="345" t="str">
        <f t="shared" si="68"/>
        <v>N/A</v>
      </c>
    </row>
    <row r="95" spans="1:15" hidden="1" outlineLevel="1" x14ac:dyDescent="0.25">
      <c r="A95" s="276"/>
      <c r="B95" s="362"/>
      <c r="C95" s="794"/>
      <c r="D95" s="771"/>
      <c r="E95" s="364"/>
      <c r="F95" s="365"/>
      <c r="G95" s="365"/>
      <c r="H95" s="365"/>
      <c r="I95" s="365"/>
      <c r="J95" s="365"/>
      <c r="K95" s="365"/>
      <c r="L95" s="366"/>
      <c r="M95" s="363"/>
      <c r="N95" s="363">
        <f t="shared" si="67"/>
        <v>0</v>
      </c>
      <c r="O95" s="345" t="str">
        <f t="shared" si="68"/>
        <v>N/A</v>
      </c>
    </row>
    <row r="96" spans="1:15" hidden="1" outlineLevel="1" x14ac:dyDescent="0.25">
      <c r="A96" s="276"/>
      <c r="B96" s="362"/>
      <c r="C96" s="794"/>
      <c r="D96" s="771"/>
      <c r="E96" s="364"/>
      <c r="F96" s="365"/>
      <c r="G96" s="365"/>
      <c r="H96" s="365"/>
      <c r="I96" s="365"/>
      <c r="J96" s="365"/>
      <c r="K96" s="365"/>
      <c r="L96" s="366"/>
      <c r="M96" s="363"/>
      <c r="N96" s="363">
        <f t="shared" si="67"/>
        <v>0</v>
      </c>
      <c r="O96" s="345" t="str">
        <f t="shared" si="68"/>
        <v>N/A</v>
      </c>
    </row>
    <row r="97" spans="1:15" hidden="1" outlineLevel="1" x14ac:dyDescent="0.25">
      <c r="A97" s="276"/>
      <c r="B97" s="362"/>
      <c r="C97" s="794"/>
      <c r="D97" s="772"/>
      <c r="E97" s="364"/>
      <c r="F97" s="365"/>
      <c r="G97" s="365"/>
      <c r="H97" s="365"/>
      <c r="I97" s="365"/>
      <c r="J97" s="365"/>
      <c r="K97" s="365"/>
      <c r="L97" s="366"/>
      <c r="M97" s="363"/>
      <c r="N97" s="363">
        <f t="shared" si="67"/>
        <v>0</v>
      </c>
      <c r="O97" s="345" t="str">
        <f t="shared" si="68"/>
        <v>N/A</v>
      </c>
    </row>
    <row r="98" spans="1:15" hidden="1" outlineLevel="1" x14ac:dyDescent="0.25">
      <c r="A98" s="282"/>
      <c r="B98" s="367"/>
      <c r="C98" s="795"/>
      <c r="D98" s="773"/>
      <c r="E98" s="350"/>
      <c r="F98" s="351"/>
      <c r="G98" s="351"/>
      <c r="H98" s="351"/>
      <c r="I98" s="351"/>
      <c r="J98" s="351"/>
      <c r="K98" s="351"/>
      <c r="L98" s="352"/>
      <c r="M98" s="368"/>
      <c r="N98" s="368">
        <f t="shared" si="67"/>
        <v>0</v>
      </c>
      <c r="O98" s="345" t="str">
        <f t="shared" si="68"/>
        <v>N/A</v>
      </c>
    </row>
    <row r="99" spans="1:15" hidden="1" outlineLevel="1" x14ac:dyDescent="0.25">
      <c r="A99" s="369" t="s">
        <v>111</v>
      </c>
      <c r="B99" s="738" t="s">
        <v>283</v>
      </c>
      <c r="C99" s="744"/>
      <c r="D99" s="370">
        <f>SUM(E99:L99)</f>
        <v>0</v>
      </c>
      <c r="E99" s="371">
        <f>E91*C99</f>
        <v>0</v>
      </c>
      <c r="F99" s="371">
        <f>(F91+E91)*C99</f>
        <v>0</v>
      </c>
      <c r="G99" s="371">
        <f>(G91+F91+E91)*C99</f>
        <v>0</v>
      </c>
      <c r="H99" s="371">
        <f>(H91+G91+F91+E91)*C99</f>
        <v>0</v>
      </c>
      <c r="I99" s="371">
        <f>(I91+H91+G91+F91+E91)*C99</f>
        <v>0</v>
      </c>
      <c r="J99" s="371">
        <f>(J91+I91+H91+G91+F91+E91)*C99</f>
        <v>0</v>
      </c>
      <c r="K99" s="371">
        <f>(K91+J91+I91+H91+G91+F91+E91)*C99</f>
        <v>0</v>
      </c>
      <c r="L99" s="372">
        <f>(L91+K91+J91+I91+H91+G91+F91+E91)*C99</f>
        <v>0</v>
      </c>
      <c r="M99" s="774"/>
      <c r="N99" s="317"/>
    </row>
    <row r="100" spans="1:15" hidden="1" outlineLevel="1" x14ac:dyDescent="0.25">
      <c r="A100" s="373" t="s">
        <v>112</v>
      </c>
      <c r="B100" s="374" t="s">
        <v>129</v>
      </c>
      <c r="C100" s="714"/>
      <c r="D100" s="375">
        <f>SUM(E100:L100)</f>
        <v>0</v>
      </c>
      <c r="E100" s="376">
        <f>E88*C100</f>
        <v>0</v>
      </c>
      <c r="F100" s="376">
        <f>(F88+E88)*C100</f>
        <v>0</v>
      </c>
      <c r="G100" s="376">
        <f>(G88+F88+E88)*C100</f>
        <v>0</v>
      </c>
      <c r="H100" s="376">
        <f>(H88+G88+F88+E88)*C100</f>
        <v>0</v>
      </c>
      <c r="I100" s="376">
        <f>(I88+H88+G88+F88+E88)*C100</f>
        <v>0</v>
      </c>
      <c r="J100" s="376">
        <f>(J88+I88+H88+G88+F88+E88)*C100</f>
        <v>0</v>
      </c>
      <c r="K100" s="376">
        <f>(K88+J88+I88+H88+G88+F88+E88)*C100</f>
        <v>0</v>
      </c>
      <c r="L100" s="377">
        <f>(L88+K88+J88+I88+H88+G88+F88+E88)*C100</f>
        <v>0</v>
      </c>
      <c r="M100" s="774"/>
    </row>
    <row r="101" spans="1:15" hidden="1" outlineLevel="1" x14ac:dyDescent="0.25">
      <c r="A101" s="739" t="s">
        <v>356</v>
      </c>
      <c r="B101" s="740"/>
      <c r="C101" s="741"/>
      <c r="D101" s="742">
        <f>SUM(E101:L101)</f>
        <v>0</v>
      </c>
      <c r="E101" s="380">
        <f>SUMPRODUCT(E92:E98,C92:C98)</f>
        <v>0</v>
      </c>
      <c r="F101" s="380">
        <f>SUM(E94:F94)*C94+SUM(E95:F95)*C95+SUM(E96:F96)*C96+SUM(E97:F97)*C97+SUM(E98:F98)*C98+SUM(E93:F93)*C93+SUM(E92:F92)*C92</f>
        <v>0</v>
      </c>
      <c r="G101" s="380">
        <f>SUM(E94:G94)*C94+SUM(E95:G95)*C95+SUM(E96:G96)*C96+SUM(E97:G97)*C97+SUM(E98:G98)*C98+SUM(E93:G93)*C93+SUM(E92:G92)*C92</f>
        <v>0</v>
      </c>
      <c r="H101" s="380">
        <f>SUM(E94:H94)*C94+SUM(E95:H95)*C95+SUM(E96:H96)*C96+SUM(E97:H97)*C97+SUM(E98:H98)*C98+SUM(E93:H93)*C93+SUM(E92:H92)*C92</f>
        <v>0</v>
      </c>
      <c r="I101" s="380">
        <f>SUM(E94:I94)*C94+SUM(E95:I95)*C95+SUM(E96:I96)*C96+SUM(E97:I97)*C97+SUM(E98:I98)*C98+SUM(E93:I93)*C93+SUM(E92:I92)*C92</f>
        <v>0</v>
      </c>
      <c r="J101" s="380">
        <f>SUM(E94:J94)*C94+SUM(E95:J95)*C95+SUM(E96:J96)*C96+SUM(E97:J97)*C97+SUM(E98:J98)*C98+SUM(E93:J93)*C93+SUM(E92:J92)*C92</f>
        <v>0</v>
      </c>
      <c r="K101" s="380">
        <f>SUM(E94:K94)*C94+SUM(E95:K95)*C95+SUM(E96:K96)*C96+SUM(E97:K97)*C97+SUM(E98:K98)*C98+SUM(E93:K93)*C93+SUM(E92:K92)*C92</f>
        <v>0</v>
      </c>
      <c r="L101" s="743">
        <f>SUM(E94:L94)*C94+SUM(E95:L95)*C95+SUM(E96:L96)*C96+SUM(E97:L97)*C97+SUM(E98:L98)*C98+SUM(E93:L93)*C93+SUM(E92:L92)*C92</f>
        <v>0</v>
      </c>
      <c r="M101" s="774"/>
    </row>
    <row r="102" spans="1:15" hidden="1" outlineLevel="1" x14ac:dyDescent="0.25">
      <c r="A102" s="253"/>
      <c r="B102" s="317"/>
      <c r="C102" s="316"/>
      <c r="D102" s="378"/>
      <c r="F102" s="379"/>
      <c r="G102" s="379"/>
      <c r="H102" s="379"/>
      <c r="I102" s="379"/>
      <c r="J102" s="379"/>
      <c r="K102" s="379"/>
    </row>
    <row r="103" spans="1:15" hidden="1" outlineLevel="1" x14ac:dyDescent="0.25">
      <c r="A103" s="333" t="s">
        <v>28</v>
      </c>
      <c r="B103" s="334"/>
      <c r="C103" s="334"/>
      <c r="D103" s="335">
        <f>'Panoramica SP'!B32</f>
        <v>0</v>
      </c>
      <c r="E103" s="337">
        <f>SUM(E104:E105)+E106</f>
        <v>0</v>
      </c>
      <c r="F103" s="337">
        <f t="shared" ref="F103" si="69">SUM(F104:F105)+F106</f>
        <v>0</v>
      </c>
      <c r="G103" s="337">
        <f t="shared" ref="G103" si="70">SUM(G104:G105)+G106</f>
        <v>0</v>
      </c>
      <c r="H103" s="337">
        <f t="shared" ref="H103:K103" si="71">SUM(H104:H105)+H106</f>
        <v>0</v>
      </c>
      <c r="I103" s="337">
        <f t="shared" si="71"/>
        <v>0</v>
      </c>
      <c r="J103" s="337">
        <f t="shared" si="71"/>
        <v>0</v>
      </c>
      <c r="K103" s="337">
        <f t="shared" si="71"/>
        <v>0</v>
      </c>
      <c r="L103" s="337">
        <f>SUM(L104:L105)+L106</f>
        <v>0</v>
      </c>
      <c r="M103" s="775" t="str">
        <f>IF(SUM(E103:L103)='Panoramica SP'!B32,"corretto","non è coerente")</f>
        <v>corretto</v>
      </c>
      <c r="N103" s="336">
        <f>SUM(E103:L103)</f>
        <v>0</v>
      </c>
      <c r="O103" s="338">
        <f>SUM(O104:O113)</f>
        <v>0</v>
      </c>
    </row>
    <row r="104" spans="1:15" hidden="1" outlineLevel="1" x14ac:dyDescent="0.25">
      <c r="A104" s="276"/>
      <c r="B104" s="339" t="s">
        <v>126</v>
      </c>
      <c r="C104" s="340">
        <v>0</v>
      </c>
      <c r="D104" s="172">
        <f>'Panoramica SP'!T32</f>
        <v>0</v>
      </c>
      <c r="E104" s="342"/>
      <c r="F104" s="343"/>
      <c r="G104" s="343"/>
      <c r="H104" s="343"/>
      <c r="I104" s="343"/>
      <c r="J104" s="343"/>
      <c r="K104" s="343"/>
      <c r="L104" s="344">
        <f>IFERROR(D104*0.2,"")</f>
        <v>0</v>
      </c>
      <c r="M104" s="341" t="str">
        <f>IF(SUM(E104:L104)='Panoramica SP'!T32,"corretto","non è coerente")</f>
        <v>corretto</v>
      </c>
      <c r="N104" s="341">
        <f>SUM(E104:L104)</f>
        <v>0</v>
      </c>
      <c r="O104" s="345" t="str">
        <f>IFERROR(SUM(E104:L104)/$D$43,"N/A")</f>
        <v>N/A</v>
      </c>
    </row>
    <row r="105" spans="1:15" hidden="1" outlineLevel="1" x14ac:dyDescent="0.25">
      <c r="A105" s="276"/>
      <c r="B105" s="346" t="s">
        <v>130</v>
      </c>
      <c r="C105" s="347">
        <v>0</v>
      </c>
      <c r="D105" s="348"/>
      <c r="E105" s="350"/>
      <c r="F105" s="351"/>
      <c r="G105" s="351"/>
      <c r="H105" s="351"/>
      <c r="I105" s="351"/>
      <c r="J105" s="351"/>
      <c r="K105" s="351"/>
      <c r="L105" s="352"/>
      <c r="M105" s="349"/>
      <c r="N105" s="349">
        <f>SUM(E105:L105)</f>
        <v>0</v>
      </c>
      <c r="O105" s="345" t="str">
        <f>IFERROR(SUM(E105:L105)/$D$43,"N/A")</f>
        <v>N/A</v>
      </c>
    </row>
    <row r="106" spans="1:15" hidden="1" outlineLevel="1" x14ac:dyDescent="0.25">
      <c r="A106" s="192"/>
      <c r="B106" s="353"/>
      <c r="C106" s="354"/>
      <c r="D106" s="355"/>
      <c r="E106" s="357">
        <f>SUM(E107:E113)</f>
        <v>0</v>
      </c>
      <c r="F106" s="357">
        <f t="shared" ref="F106:L106" si="72">SUM(F107:F113)</f>
        <v>0</v>
      </c>
      <c r="G106" s="357">
        <f t="shared" si="72"/>
        <v>0</v>
      </c>
      <c r="H106" s="357">
        <f t="shared" si="72"/>
        <v>0</v>
      </c>
      <c r="I106" s="357">
        <f t="shared" si="72"/>
        <v>0</v>
      </c>
      <c r="J106" s="357">
        <f t="shared" si="72"/>
        <v>0</v>
      </c>
      <c r="K106" s="357">
        <f t="shared" si="72"/>
        <v>0</v>
      </c>
      <c r="L106" s="357">
        <f t="shared" si="72"/>
        <v>0</v>
      </c>
      <c r="M106" s="356"/>
      <c r="N106" s="356"/>
      <c r="O106" s="345"/>
    </row>
    <row r="107" spans="1:15" hidden="1" outlineLevel="1" x14ac:dyDescent="0.25">
      <c r="A107" s="276"/>
      <c r="B107" s="360" t="s">
        <v>251</v>
      </c>
      <c r="C107" s="793"/>
      <c r="D107" s="770"/>
      <c r="E107" s="342"/>
      <c r="F107" s="343"/>
      <c r="G107" s="343"/>
      <c r="H107" s="343"/>
      <c r="I107" s="343"/>
      <c r="J107" s="343"/>
      <c r="K107" s="343"/>
      <c r="L107" s="344"/>
      <c r="M107" s="361"/>
      <c r="N107" s="361">
        <f t="shared" ref="N107:N113" si="73">SUM(E107:L107)</f>
        <v>0</v>
      </c>
      <c r="O107" s="345" t="str">
        <f t="shared" ref="O107:O113" si="74">IFERROR(SUM(E107:L107)/$D$43,"N/A")</f>
        <v>N/A</v>
      </c>
    </row>
    <row r="108" spans="1:15" hidden="1" outlineLevel="1" x14ac:dyDescent="0.25">
      <c r="A108" s="276"/>
      <c r="B108" s="362"/>
      <c r="C108" s="794"/>
      <c r="D108" s="771"/>
      <c r="E108" s="364"/>
      <c r="F108" s="365"/>
      <c r="G108" s="365"/>
      <c r="H108" s="365"/>
      <c r="I108" s="365"/>
      <c r="J108" s="365"/>
      <c r="K108" s="365"/>
      <c r="L108" s="366"/>
      <c r="M108" s="363"/>
      <c r="N108" s="363">
        <f t="shared" si="73"/>
        <v>0</v>
      </c>
      <c r="O108" s="345" t="str">
        <f t="shared" si="74"/>
        <v>N/A</v>
      </c>
    </row>
    <row r="109" spans="1:15" hidden="1" outlineLevel="1" x14ac:dyDescent="0.25">
      <c r="A109" s="276"/>
      <c r="B109" s="362"/>
      <c r="C109" s="794"/>
      <c r="D109" s="771"/>
      <c r="E109" s="364"/>
      <c r="F109" s="365"/>
      <c r="G109" s="365"/>
      <c r="H109" s="365"/>
      <c r="I109" s="365"/>
      <c r="J109" s="365"/>
      <c r="K109" s="365"/>
      <c r="L109" s="366"/>
      <c r="M109" s="363"/>
      <c r="N109" s="363">
        <f t="shared" si="73"/>
        <v>0</v>
      </c>
      <c r="O109" s="345" t="str">
        <f t="shared" si="74"/>
        <v>N/A</v>
      </c>
    </row>
    <row r="110" spans="1:15" hidden="1" outlineLevel="1" x14ac:dyDescent="0.25">
      <c r="A110" s="276"/>
      <c r="B110" s="362"/>
      <c r="C110" s="794"/>
      <c r="D110" s="771"/>
      <c r="E110" s="364"/>
      <c r="F110" s="365"/>
      <c r="G110" s="365"/>
      <c r="H110" s="365"/>
      <c r="I110" s="365"/>
      <c r="J110" s="365"/>
      <c r="K110" s="365"/>
      <c r="L110" s="366"/>
      <c r="M110" s="363"/>
      <c r="N110" s="363">
        <f t="shared" si="73"/>
        <v>0</v>
      </c>
      <c r="O110" s="345" t="str">
        <f t="shared" si="74"/>
        <v>N/A</v>
      </c>
    </row>
    <row r="111" spans="1:15" hidden="1" outlineLevel="1" x14ac:dyDescent="0.25">
      <c r="A111" s="276"/>
      <c r="B111" s="362"/>
      <c r="C111" s="794"/>
      <c r="D111" s="771"/>
      <c r="E111" s="364"/>
      <c r="F111" s="365"/>
      <c r="G111" s="365"/>
      <c r="H111" s="365"/>
      <c r="I111" s="365"/>
      <c r="J111" s="365"/>
      <c r="K111" s="365"/>
      <c r="L111" s="366"/>
      <c r="M111" s="363"/>
      <c r="N111" s="363">
        <f t="shared" si="73"/>
        <v>0</v>
      </c>
      <c r="O111" s="345" t="str">
        <f t="shared" si="74"/>
        <v>N/A</v>
      </c>
    </row>
    <row r="112" spans="1:15" hidden="1" outlineLevel="1" x14ac:dyDescent="0.25">
      <c r="A112" s="276"/>
      <c r="B112" s="362"/>
      <c r="C112" s="794"/>
      <c r="D112" s="772"/>
      <c r="E112" s="364"/>
      <c r="F112" s="365"/>
      <c r="G112" s="365"/>
      <c r="H112" s="365"/>
      <c r="I112" s="365"/>
      <c r="J112" s="365"/>
      <c r="K112" s="365"/>
      <c r="L112" s="366"/>
      <c r="M112" s="363"/>
      <c r="N112" s="363">
        <f t="shared" si="73"/>
        <v>0</v>
      </c>
      <c r="O112" s="345" t="str">
        <f t="shared" si="74"/>
        <v>N/A</v>
      </c>
    </row>
    <row r="113" spans="1:15" hidden="1" outlineLevel="1" x14ac:dyDescent="0.25">
      <c r="A113" s="282"/>
      <c r="B113" s="367"/>
      <c r="C113" s="795"/>
      <c r="D113" s="773"/>
      <c r="E113" s="350"/>
      <c r="F113" s="351"/>
      <c r="G113" s="351"/>
      <c r="H113" s="351"/>
      <c r="I113" s="351"/>
      <c r="J113" s="351"/>
      <c r="K113" s="351"/>
      <c r="L113" s="352"/>
      <c r="M113" s="368"/>
      <c r="N113" s="368">
        <f t="shared" si="73"/>
        <v>0</v>
      </c>
      <c r="O113" s="345" t="str">
        <f t="shared" si="74"/>
        <v>N/A</v>
      </c>
    </row>
    <row r="114" spans="1:15" hidden="1" outlineLevel="1" x14ac:dyDescent="0.25">
      <c r="A114" s="369" t="s">
        <v>111</v>
      </c>
      <c r="B114" s="738" t="s">
        <v>283</v>
      </c>
      <c r="C114" s="744"/>
      <c r="D114" s="370">
        <f>SUM(E114:L114)</f>
        <v>0</v>
      </c>
      <c r="E114" s="371">
        <f>E106*C114</f>
        <v>0</v>
      </c>
      <c r="F114" s="371">
        <f>(F106+E106)*C114</f>
        <v>0</v>
      </c>
      <c r="G114" s="371">
        <f>(G106+F106+E106)*C114</f>
        <v>0</v>
      </c>
      <c r="H114" s="371">
        <f>(H106+G106+F106+E106)*C114</f>
        <v>0</v>
      </c>
      <c r="I114" s="371">
        <f>(I106+H106+G106+F106+E106)*C114</f>
        <v>0</v>
      </c>
      <c r="J114" s="371">
        <f>(J106+I106+H106+G106+F106+E106)*C114</f>
        <v>0</v>
      </c>
      <c r="K114" s="371">
        <f>(K106+J106+I106+H106+G106+F106+E106)*C114</f>
        <v>0</v>
      </c>
      <c r="L114" s="372">
        <f>(L106+K106+J106+I106+H106+G106+F106+E106)*C114</f>
        <v>0</v>
      </c>
      <c r="M114" s="774"/>
      <c r="N114" s="317"/>
    </row>
    <row r="115" spans="1:15" hidden="1" outlineLevel="1" x14ac:dyDescent="0.25">
      <c r="A115" s="373" t="s">
        <v>112</v>
      </c>
      <c r="B115" s="374" t="s">
        <v>129</v>
      </c>
      <c r="C115" s="714"/>
      <c r="D115" s="375">
        <f>SUM(E115:L115)</f>
        <v>0</v>
      </c>
      <c r="E115" s="376">
        <f>E103*C115</f>
        <v>0</v>
      </c>
      <c r="F115" s="376">
        <f>(F103+E103)*C115</f>
        <v>0</v>
      </c>
      <c r="G115" s="376">
        <f>(G103+F103+E103)*C115</f>
        <v>0</v>
      </c>
      <c r="H115" s="376">
        <f>(H103+G103+F103+E103)*C115</f>
        <v>0</v>
      </c>
      <c r="I115" s="376">
        <f>(I103+H103+G103+F103+E103)*C115</f>
        <v>0</v>
      </c>
      <c r="J115" s="376">
        <f>(J103+I103+H103+G103+F103+E103)*C115</f>
        <v>0</v>
      </c>
      <c r="K115" s="376">
        <f>(K103+J103+I103+H103+G103+F103+E103)*C115</f>
        <v>0</v>
      </c>
      <c r="L115" s="377">
        <f>(L103+K103+J103+I103+H103+G103+F103+E103)*C115</f>
        <v>0</v>
      </c>
      <c r="M115" s="774"/>
    </row>
    <row r="116" spans="1:15" hidden="1" outlineLevel="1" x14ac:dyDescent="0.25">
      <c r="A116" s="739" t="s">
        <v>356</v>
      </c>
      <c r="B116" s="740"/>
      <c r="C116" s="741"/>
      <c r="D116" s="742">
        <f>SUM(E116:L116)</f>
        <v>0</v>
      </c>
      <c r="E116" s="380">
        <f>SUMPRODUCT(E107:E113,C107:C113)</f>
        <v>0</v>
      </c>
      <c r="F116" s="380">
        <f>SUM(E109:F109)*C109+SUM(E110:F110)*C110+SUM(E111:F111)*C111+SUM(E112:F112)*C112+SUM(E113:F113)*C113+SUM(E108:F108)*C108+SUM(E107:F107)*C107</f>
        <v>0</v>
      </c>
      <c r="G116" s="380">
        <f>SUM(E109:G109)*C109+SUM(E110:G110)*C110+SUM(E111:G111)*C111+SUM(E112:G112)*C112+SUM(E113:G113)*C113+SUM(E108:G108)*C108+SUM(E107:G107)*C107</f>
        <v>0</v>
      </c>
      <c r="H116" s="380">
        <f>SUM(E109:H109)*C109+SUM(E110:H110)*C110+SUM(E111:H111)*C111+SUM(E112:H112)*C112+SUM(E113:H113)*C113+SUM(E108:H108)*C108+SUM(E107:H107)*C107</f>
        <v>0</v>
      </c>
      <c r="I116" s="380">
        <f>SUM(E109:I109)*C109+SUM(E110:I110)*C110+SUM(E111:I111)*C111+SUM(E112:I112)*C112+SUM(E113:I113)*C113+SUM(E108:I108)*C108+SUM(E107:I107)*C107</f>
        <v>0</v>
      </c>
      <c r="J116" s="380">
        <f>SUM(E109:J109)*C109+SUM(E110:J110)*C110+SUM(E111:J111)*C111+SUM(E112:J112)*C112+SUM(E113:J113)*C113+SUM(E108:J108)*C108+SUM(E107:J107)*C107</f>
        <v>0</v>
      </c>
      <c r="K116" s="380">
        <f>SUM(E109:K109)*C109+SUM(E110:K110)*C110+SUM(E111:K111)*C111+SUM(E112:K112)*C112+SUM(E113:K113)*C113+SUM(E108:K108)*C108+SUM(E107:K107)*C107</f>
        <v>0</v>
      </c>
      <c r="L116" s="743">
        <f>SUM(E109:L109)*C109+SUM(E110:L110)*C110+SUM(E111:L111)*C111+SUM(E112:L112)*C112+SUM(E113:L113)*C113+SUM(E108:L108)*C108+SUM(E107:L107)*C107</f>
        <v>0</v>
      </c>
      <c r="M116" s="774"/>
    </row>
    <row r="117" spans="1:15" hidden="1" outlineLevel="1" x14ac:dyDescent="0.25">
      <c r="A117" s="253"/>
      <c r="B117" s="317"/>
      <c r="C117" s="316"/>
      <c r="D117" s="378"/>
      <c r="F117" s="379"/>
      <c r="G117" s="379"/>
      <c r="H117" s="379"/>
      <c r="I117" s="379"/>
      <c r="J117" s="379"/>
      <c r="K117" s="379"/>
    </row>
    <row r="118" spans="1:15" hidden="1" outlineLevel="1" x14ac:dyDescent="0.25">
      <c r="A118" s="333" t="s">
        <v>29</v>
      </c>
      <c r="B118" s="334"/>
      <c r="C118" s="334"/>
      <c r="D118" s="335">
        <f>'Panoramica SP'!B33</f>
        <v>0</v>
      </c>
      <c r="E118" s="337">
        <f>SUM(E119:E120)+E121</f>
        <v>0</v>
      </c>
      <c r="F118" s="337">
        <f t="shared" ref="F118" si="75">SUM(F119:F120)+F121</f>
        <v>0</v>
      </c>
      <c r="G118" s="337">
        <f t="shared" ref="G118" si="76">SUM(G119:G120)+G121</f>
        <v>0</v>
      </c>
      <c r="H118" s="337">
        <f t="shared" ref="H118:K118" si="77">SUM(H119:H120)+H121</f>
        <v>0</v>
      </c>
      <c r="I118" s="337">
        <f t="shared" si="77"/>
        <v>0</v>
      </c>
      <c r="J118" s="337">
        <f t="shared" si="77"/>
        <v>0</v>
      </c>
      <c r="K118" s="337">
        <f t="shared" si="77"/>
        <v>0</v>
      </c>
      <c r="L118" s="337">
        <f>SUM(L119:L120)+L121</f>
        <v>0</v>
      </c>
      <c r="M118" s="775" t="str">
        <f>IF(SUM(E118:L118)='Panoramica SP'!B133,"corretto","non è coerente")</f>
        <v>corretto</v>
      </c>
      <c r="N118" s="336">
        <f>SUM(E118:L118)</f>
        <v>0</v>
      </c>
      <c r="O118" s="338">
        <f>SUM(O119:O128)</f>
        <v>0</v>
      </c>
    </row>
    <row r="119" spans="1:15" hidden="1" outlineLevel="1" x14ac:dyDescent="0.25">
      <c r="A119" s="276"/>
      <c r="B119" s="339" t="s">
        <v>126</v>
      </c>
      <c r="C119" s="340">
        <v>0</v>
      </c>
      <c r="D119" s="172">
        <f>'Panoramica SP'!T33</f>
        <v>0</v>
      </c>
      <c r="E119" s="342"/>
      <c r="F119" s="343"/>
      <c r="G119" s="343"/>
      <c r="H119" s="343"/>
      <c r="I119" s="343"/>
      <c r="J119" s="343"/>
      <c r="K119" s="343"/>
      <c r="L119" s="344">
        <f>IFERROR(D119*0.2,"")</f>
        <v>0</v>
      </c>
      <c r="M119" s="341" t="str">
        <f>IF(SUM(E119:L119)='Panoramica SP'!T133,"corretto","non è coerente")</f>
        <v>corretto</v>
      </c>
      <c r="N119" s="341">
        <f>SUM(E119:L119)</f>
        <v>0</v>
      </c>
      <c r="O119" s="345" t="str">
        <f>IFERROR(SUM(E119:L119)/$D$43,"N/A")</f>
        <v>N/A</v>
      </c>
    </row>
    <row r="120" spans="1:15" hidden="1" outlineLevel="1" x14ac:dyDescent="0.25">
      <c r="A120" s="276"/>
      <c r="B120" s="346" t="s">
        <v>130</v>
      </c>
      <c r="C120" s="347">
        <v>0</v>
      </c>
      <c r="D120" s="348"/>
      <c r="E120" s="350"/>
      <c r="F120" s="351"/>
      <c r="G120" s="351"/>
      <c r="H120" s="351"/>
      <c r="I120" s="351"/>
      <c r="J120" s="351"/>
      <c r="K120" s="351"/>
      <c r="L120" s="352"/>
      <c r="M120" s="349"/>
      <c r="N120" s="349">
        <f>SUM(E120:L120)</f>
        <v>0</v>
      </c>
      <c r="O120" s="345" t="str">
        <f>IFERROR(SUM(E120:L120)/$D$43,"N/A")</f>
        <v>N/A</v>
      </c>
    </row>
    <row r="121" spans="1:15" hidden="1" outlineLevel="1" x14ac:dyDescent="0.25">
      <c r="A121" s="192"/>
      <c r="B121" s="353"/>
      <c r="C121" s="354"/>
      <c r="D121" s="355"/>
      <c r="E121" s="357">
        <f>SUM(E122:E128)</f>
        <v>0</v>
      </c>
      <c r="F121" s="357">
        <f t="shared" ref="F121:L121" si="78">SUM(F122:F128)</f>
        <v>0</v>
      </c>
      <c r="G121" s="357">
        <f t="shared" si="78"/>
        <v>0</v>
      </c>
      <c r="H121" s="357">
        <f t="shared" si="78"/>
        <v>0</v>
      </c>
      <c r="I121" s="357">
        <f t="shared" si="78"/>
        <v>0</v>
      </c>
      <c r="J121" s="357">
        <f t="shared" si="78"/>
        <v>0</v>
      </c>
      <c r="K121" s="357">
        <f t="shared" si="78"/>
        <v>0</v>
      </c>
      <c r="L121" s="357">
        <f t="shared" si="78"/>
        <v>0</v>
      </c>
      <c r="M121" s="356"/>
      <c r="N121" s="356"/>
      <c r="O121" s="345"/>
    </row>
    <row r="122" spans="1:15" hidden="1" outlineLevel="1" x14ac:dyDescent="0.25">
      <c r="A122" s="276"/>
      <c r="B122" s="360" t="s">
        <v>127</v>
      </c>
      <c r="C122" s="793"/>
      <c r="D122" s="770"/>
      <c r="E122" s="342"/>
      <c r="F122" s="343"/>
      <c r="G122" s="343"/>
      <c r="H122" s="343"/>
      <c r="I122" s="343"/>
      <c r="J122" s="343"/>
      <c r="K122" s="343"/>
      <c r="L122" s="344"/>
      <c r="M122" s="361"/>
      <c r="N122" s="361">
        <f t="shared" ref="N122:N128" si="79">SUM(E122:L122)</f>
        <v>0</v>
      </c>
      <c r="O122" s="345" t="str">
        <f t="shared" ref="O122:O128" si="80">IFERROR(SUM(E122:L122)/$D$43,"N/A")</f>
        <v>N/A</v>
      </c>
    </row>
    <row r="123" spans="1:15" hidden="1" outlineLevel="1" x14ac:dyDescent="0.25">
      <c r="A123" s="276"/>
      <c r="B123" s="362" t="s">
        <v>235</v>
      </c>
      <c r="C123" s="794"/>
      <c r="D123" s="771"/>
      <c r="E123" s="364"/>
      <c r="F123" s="365"/>
      <c r="G123" s="365"/>
      <c r="H123" s="365"/>
      <c r="I123" s="365"/>
      <c r="J123" s="365"/>
      <c r="K123" s="365"/>
      <c r="L123" s="366"/>
      <c r="M123" s="363"/>
      <c r="N123" s="363">
        <f t="shared" si="79"/>
        <v>0</v>
      </c>
      <c r="O123" s="345" t="str">
        <f t="shared" si="80"/>
        <v>N/A</v>
      </c>
    </row>
    <row r="124" spans="1:15" hidden="1" outlineLevel="1" x14ac:dyDescent="0.25">
      <c r="A124" s="276"/>
      <c r="B124" s="362" t="s">
        <v>127</v>
      </c>
      <c r="C124" s="794"/>
      <c r="D124" s="771"/>
      <c r="E124" s="364"/>
      <c r="F124" s="365"/>
      <c r="G124" s="365"/>
      <c r="H124" s="365"/>
      <c r="I124" s="365"/>
      <c r="J124" s="365"/>
      <c r="K124" s="365"/>
      <c r="L124" s="366"/>
      <c r="M124" s="363"/>
      <c r="N124" s="363">
        <f t="shared" si="79"/>
        <v>0</v>
      </c>
      <c r="O124" s="345" t="str">
        <f t="shared" si="80"/>
        <v>N/A</v>
      </c>
    </row>
    <row r="125" spans="1:15" hidden="1" outlineLevel="1" x14ac:dyDescent="0.25">
      <c r="A125" s="276"/>
      <c r="B125" s="362"/>
      <c r="C125" s="794"/>
      <c r="D125" s="771"/>
      <c r="E125" s="364"/>
      <c r="F125" s="365"/>
      <c r="G125" s="365"/>
      <c r="H125" s="365"/>
      <c r="I125" s="365"/>
      <c r="J125" s="365"/>
      <c r="K125" s="365"/>
      <c r="L125" s="366"/>
      <c r="M125" s="363"/>
      <c r="N125" s="363">
        <f t="shared" si="79"/>
        <v>0</v>
      </c>
      <c r="O125" s="345" t="str">
        <f t="shared" si="80"/>
        <v>N/A</v>
      </c>
    </row>
    <row r="126" spans="1:15" hidden="1" outlineLevel="1" x14ac:dyDescent="0.25">
      <c r="A126" s="276"/>
      <c r="B126" s="362"/>
      <c r="C126" s="794"/>
      <c r="D126" s="771"/>
      <c r="E126" s="364"/>
      <c r="F126" s="365"/>
      <c r="G126" s="365"/>
      <c r="H126" s="365"/>
      <c r="I126" s="365"/>
      <c r="J126" s="365"/>
      <c r="K126" s="365"/>
      <c r="L126" s="366"/>
      <c r="M126" s="363"/>
      <c r="N126" s="363">
        <f t="shared" si="79"/>
        <v>0</v>
      </c>
      <c r="O126" s="345" t="str">
        <f t="shared" si="80"/>
        <v>N/A</v>
      </c>
    </row>
    <row r="127" spans="1:15" hidden="1" outlineLevel="1" x14ac:dyDescent="0.25">
      <c r="A127" s="276"/>
      <c r="B127" s="362"/>
      <c r="C127" s="794"/>
      <c r="D127" s="772"/>
      <c r="E127" s="364"/>
      <c r="F127" s="365"/>
      <c r="G127" s="365"/>
      <c r="H127" s="365"/>
      <c r="I127" s="365"/>
      <c r="J127" s="365"/>
      <c r="K127" s="365"/>
      <c r="L127" s="366"/>
      <c r="M127" s="363"/>
      <c r="N127" s="363">
        <f t="shared" si="79"/>
        <v>0</v>
      </c>
      <c r="O127" s="345" t="str">
        <f t="shared" si="80"/>
        <v>N/A</v>
      </c>
    </row>
    <row r="128" spans="1:15" hidden="1" outlineLevel="1" x14ac:dyDescent="0.25">
      <c r="A128" s="282"/>
      <c r="B128" s="367"/>
      <c r="C128" s="795"/>
      <c r="D128" s="773"/>
      <c r="E128" s="350"/>
      <c r="F128" s="351"/>
      <c r="G128" s="351"/>
      <c r="H128" s="351"/>
      <c r="I128" s="351"/>
      <c r="J128" s="351"/>
      <c r="K128" s="351"/>
      <c r="L128" s="352"/>
      <c r="M128" s="368"/>
      <c r="N128" s="368">
        <f t="shared" si="79"/>
        <v>0</v>
      </c>
      <c r="O128" s="345" t="str">
        <f t="shared" si="80"/>
        <v>N/A</v>
      </c>
    </row>
    <row r="129" spans="1:15" hidden="1" outlineLevel="1" x14ac:dyDescent="0.25">
      <c r="A129" s="369" t="s">
        <v>111</v>
      </c>
      <c r="B129" s="738" t="s">
        <v>283</v>
      </c>
      <c r="C129" s="744"/>
      <c r="D129" s="370">
        <f>SUM(E129:L129)</f>
        <v>0</v>
      </c>
      <c r="E129" s="371">
        <f>E121*C129</f>
        <v>0</v>
      </c>
      <c r="F129" s="371">
        <f>(F121+E121)*C129</f>
        <v>0</v>
      </c>
      <c r="G129" s="371">
        <f>(G121+F121+E121)*C129</f>
        <v>0</v>
      </c>
      <c r="H129" s="371">
        <f>(H121+G121+F121+E121)*C129</f>
        <v>0</v>
      </c>
      <c r="I129" s="371">
        <f>(I121+H121+G121+F121+E121)*C129</f>
        <v>0</v>
      </c>
      <c r="J129" s="371">
        <f>(J121+I121+H121+G121+F121+E121)*C129</f>
        <v>0</v>
      </c>
      <c r="K129" s="371">
        <f>(K121+J121+I121+H121+G121+F121+E121)*C129</f>
        <v>0</v>
      </c>
      <c r="L129" s="372">
        <f>(L121+K121+J121+I121+H121+G121+F121+E121)*C129</f>
        <v>0</v>
      </c>
      <c r="M129" s="774"/>
      <c r="N129" s="317"/>
    </row>
    <row r="130" spans="1:15" hidden="1" outlineLevel="1" x14ac:dyDescent="0.25">
      <c r="A130" s="373" t="s">
        <v>112</v>
      </c>
      <c r="B130" s="374" t="s">
        <v>129</v>
      </c>
      <c r="C130" s="714"/>
      <c r="D130" s="375">
        <f>SUM(E130:L130)</f>
        <v>0</v>
      </c>
      <c r="E130" s="376">
        <f>E118*C130</f>
        <v>0</v>
      </c>
      <c r="F130" s="376">
        <f>(F118+E118)*C130</f>
        <v>0</v>
      </c>
      <c r="G130" s="376">
        <f>(G118+F118+E118)*C130</f>
        <v>0</v>
      </c>
      <c r="H130" s="376">
        <f>(H118+G118+F118+E118)*C130</f>
        <v>0</v>
      </c>
      <c r="I130" s="376">
        <f>(I118+H118+G118+F118+E118)*C130</f>
        <v>0</v>
      </c>
      <c r="J130" s="376">
        <f>(J118+I118+H118+G118+F118+E118)*C130</f>
        <v>0</v>
      </c>
      <c r="K130" s="376">
        <f>(K118+J118+I118+H118+G118+F118+E118)*C130</f>
        <v>0</v>
      </c>
      <c r="L130" s="377">
        <f>(L118+K118+J118+I118+H118+G118+F118+E118)*C130</f>
        <v>0</v>
      </c>
      <c r="M130" s="774"/>
    </row>
    <row r="131" spans="1:15" hidden="1" outlineLevel="1" x14ac:dyDescent="0.25">
      <c r="A131" s="739" t="s">
        <v>356</v>
      </c>
      <c r="B131" s="740"/>
      <c r="C131" s="741"/>
      <c r="D131" s="742">
        <f>SUM(E131:L131)</f>
        <v>0</v>
      </c>
      <c r="E131" s="380">
        <f>SUMPRODUCT(E122:E128,C122:C128)</f>
        <v>0</v>
      </c>
      <c r="F131" s="380">
        <f>SUM(E124:F124)*C124+SUM(E125:F125)*C125+SUM(E126:F126)*C126+SUM(E127:F127)*C127+SUM(E128:F128)*C128+SUM(E123:F123)*C123+SUM(E122:F122)*C122</f>
        <v>0</v>
      </c>
      <c r="G131" s="380">
        <f>SUM(E124:G124)*C124+SUM(E125:G125)*C125+SUM(E126:G126)*C126+SUM(E127:G127)*C127+SUM(E128:G128)*C128+SUM(E123:G123)*C123+SUM(E122:G122)*C122</f>
        <v>0</v>
      </c>
      <c r="H131" s="380">
        <f>SUM(E124:H124)*C124+SUM(E125:H125)*C125+SUM(E126:H126)*C126+SUM(E127:H127)*C127+SUM(E128:H128)*C128+SUM(E123:H123)*C123+SUM(E122:H122)*C122</f>
        <v>0</v>
      </c>
      <c r="I131" s="380">
        <f>SUM(E124:I124)*C124+SUM(E125:I125)*C125+SUM(E126:I126)*C126+SUM(E127:I127)*C127+SUM(E128:I128)*C128+SUM(E123:I123)*C123+SUM(E122:I122)*C122</f>
        <v>0</v>
      </c>
      <c r="J131" s="380">
        <f>SUM(E124:J124)*C124+SUM(E125:J125)*C125+SUM(E126:J126)*C126+SUM(E127:J127)*C127+SUM(E128:J128)*C128+SUM(E123:J123)*C123+SUM(E122:J122)*C122</f>
        <v>0</v>
      </c>
      <c r="K131" s="380">
        <f>SUM(E124:K124)*C124+SUM(E125:K125)*C125+SUM(E126:K126)*C126+SUM(E127:K127)*C127+SUM(E128:K128)*C128+SUM(E123:K123)*C123+SUM(E122:K122)*C122</f>
        <v>0</v>
      </c>
      <c r="L131" s="743">
        <f>SUM(E124:L124)*C124+SUM(E125:L125)*C125+SUM(E126:L126)*C126+SUM(E127:L127)*C127+SUM(E128:L128)*C128+SUM(E123:L123)*C123+SUM(E122:L122)*C122</f>
        <v>0</v>
      </c>
      <c r="M131" s="774"/>
    </row>
    <row r="132" spans="1:15" hidden="1" outlineLevel="1" x14ac:dyDescent="0.25">
      <c r="A132" s="253"/>
      <c r="B132" s="317"/>
      <c r="C132" s="316"/>
      <c r="D132" s="378"/>
      <c r="F132" s="379"/>
      <c r="G132" s="379"/>
      <c r="H132" s="379"/>
      <c r="I132" s="379"/>
      <c r="J132" s="379"/>
      <c r="K132" s="379"/>
    </row>
    <row r="133" spans="1:15" hidden="1" outlineLevel="1" x14ac:dyDescent="0.25">
      <c r="A133" s="333" t="s">
        <v>249</v>
      </c>
      <c r="B133" s="334"/>
      <c r="C133" s="334"/>
      <c r="D133" s="335">
        <f>'Panoramica SP'!B34</f>
        <v>0</v>
      </c>
      <c r="E133" s="337">
        <f>SUM(E134:E135)+E136</f>
        <v>0</v>
      </c>
      <c r="F133" s="337">
        <f t="shared" ref="F133" si="81">SUM(F134:F135)+F136</f>
        <v>0</v>
      </c>
      <c r="G133" s="337">
        <f t="shared" ref="G133" si="82">SUM(G134:G135)+G136</f>
        <v>0</v>
      </c>
      <c r="H133" s="337">
        <f t="shared" ref="H133:K133" si="83">SUM(H134:H135)+H136</f>
        <v>0</v>
      </c>
      <c r="I133" s="337">
        <f t="shared" si="83"/>
        <v>0</v>
      </c>
      <c r="J133" s="337">
        <f t="shared" si="83"/>
        <v>0</v>
      </c>
      <c r="K133" s="337">
        <f t="shared" si="83"/>
        <v>0</v>
      </c>
      <c r="L133" s="337">
        <f>SUM(L134:L135)+L136</f>
        <v>0</v>
      </c>
      <c r="M133" s="775" t="str">
        <f>IF(SUM(E133:L133)='Panoramica SP'!B34,"corretto","non è coerente")</f>
        <v>corretto</v>
      </c>
      <c r="N133" s="336">
        <f>SUM(E133:L133)</f>
        <v>0</v>
      </c>
      <c r="O133" s="338">
        <f>SUM(O134:O143)</f>
        <v>0</v>
      </c>
    </row>
    <row r="134" spans="1:15" hidden="1" outlineLevel="1" x14ac:dyDescent="0.25">
      <c r="A134" s="276"/>
      <c r="B134" s="339" t="s">
        <v>126</v>
      </c>
      <c r="C134" s="340">
        <v>0</v>
      </c>
      <c r="D134" s="172">
        <f>'Panoramica SP'!T34</f>
        <v>0</v>
      </c>
      <c r="E134" s="342"/>
      <c r="F134" s="343"/>
      <c r="G134" s="343"/>
      <c r="H134" s="343"/>
      <c r="I134" s="343"/>
      <c r="J134" s="343"/>
      <c r="K134" s="343"/>
      <c r="L134" s="344">
        <f>IFERROR(D134*0.2,"")</f>
        <v>0</v>
      </c>
      <c r="M134" s="341" t="str">
        <f>IF(SUM(E134:L134)='Panoramica SP'!T34,"corretto","non è coerente")</f>
        <v>corretto</v>
      </c>
      <c r="N134" s="341">
        <f>SUM(E134:L134)</f>
        <v>0</v>
      </c>
      <c r="O134" s="345" t="str">
        <f>IFERROR(SUM(E134:L134)/$D$43,"N/A")</f>
        <v>N/A</v>
      </c>
    </row>
    <row r="135" spans="1:15" hidden="1" outlineLevel="1" x14ac:dyDescent="0.25">
      <c r="A135" s="276"/>
      <c r="B135" s="346" t="s">
        <v>130</v>
      </c>
      <c r="C135" s="347">
        <v>0</v>
      </c>
      <c r="D135" s="348"/>
      <c r="E135" s="350"/>
      <c r="F135" s="351"/>
      <c r="G135" s="351"/>
      <c r="H135" s="351"/>
      <c r="I135" s="351"/>
      <c r="J135" s="351"/>
      <c r="K135" s="351"/>
      <c r="L135" s="352"/>
      <c r="M135" s="349"/>
      <c r="N135" s="349">
        <f>SUM(E135:L135)</f>
        <v>0</v>
      </c>
      <c r="O135" s="345" t="str">
        <f>IFERROR(SUM(E135:L135)/$D$43,"N/A")</f>
        <v>N/A</v>
      </c>
    </row>
    <row r="136" spans="1:15" hidden="1" outlineLevel="1" x14ac:dyDescent="0.25">
      <c r="A136" s="192"/>
      <c r="B136" s="353"/>
      <c r="C136" s="354"/>
      <c r="D136" s="355"/>
      <c r="E136" s="357">
        <f>SUM(E137:E143)</f>
        <v>0</v>
      </c>
      <c r="F136" s="357">
        <f t="shared" ref="F136:L136" si="84">SUM(F137:F143)</f>
        <v>0</v>
      </c>
      <c r="G136" s="357">
        <f t="shared" si="84"/>
        <v>0</v>
      </c>
      <c r="H136" s="357">
        <f t="shared" si="84"/>
        <v>0</v>
      </c>
      <c r="I136" s="357">
        <f t="shared" si="84"/>
        <v>0</v>
      </c>
      <c r="J136" s="357">
        <f t="shared" si="84"/>
        <v>0</v>
      </c>
      <c r="K136" s="357">
        <f t="shared" si="84"/>
        <v>0</v>
      </c>
      <c r="L136" s="357">
        <f t="shared" si="84"/>
        <v>0</v>
      </c>
      <c r="M136" s="356"/>
      <c r="N136" s="356"/>
      <c r="O136" s="345"/>
    </row>
    <row r="137" spans="1:15" hidden="1" outlineLevel="1" x14ac:dyDescent="0.25">
      <c r="A137" s="276"/>
      <c r="B137" s="360" t="s">
        <v>251</v>
      </c>
      <c r="C137" s="793"/>
      <c r="D137" s="770"/>
      <c r="E137" s="342"/>
      <c r="F137" s="343"/>
      <c r="G137" s="343"/>
      <c r="H137" s="343"/>
      <c r="I137" s="343"/>
      <c r="J137" s="343"/>
      <c r="K137" s="343"/>
      <c r="L137" s="344"/>
      <c r="M137" s="361"/>
      <c r="N137" s="361">
        <f t="shared" ref="N137:N143" si="85">SUM(E137:L137)</f>
        <v>0</v>
      </c>
      <c r="O137" s="345" t="str">
        <f t="shared" ref="O137:O143" si="86">IFERROR(SUM(E137:L137)/$D$43,"N/A")</f>
        <v>N/A</v>
      </c>
    </row>
    <row r="138" spans="1:15" hidden="1" outlineLevel="1" x14ac:dyDescent="0.25">
      <c r="A138" s="276"/>
      <c r="B138" s="362"/>
      <c r="C138" s="794"/>
      <c r="D138" s="771"/>
      <c r="E138" s="364"/>
      <c r="F138" s="365"/>
      <c r="G138" s="365"/>
      <c r="H138" s="365"/>
      <c r="I138" s="365"/>
      <c r="J138" s="365"/>
      <c r="K138" s="365"/>
      <c r="L138" s="366"/>
      <c r="M138" s="363"/>
      <c r="N138" s="363">
        <f t="shared" si="85"/>
        <v>0</v>
      </c>
      <c r="O138" s="345" t="str">
        <f t="shared" si="86"/>
        <v>N/A</v>
      </c>
    </row>
    <row r="139" spans="1:15" hidden="1" outlineLevel="1" x14ac:dyDescent="0.25">
      <c r="A139" s="276"/>
      <c r="B139" s="362"/>
      <c r="C139" s="794"/>
      <c r="D139" s="771"/>
      <c r="E139" s="364"/>
      <c r="F139" s="365"/>
      <c r="G139" s="365"/>
      <c r="H139" s="365"/>
      <c r="I139" s="365"/>
      <c r="J139" s="365"/>
      <c r="K139" s="365"/>
      <c r="L139" s="366"/>
      <c r="M139" s="363"/>
      <c r="N139" s="363">
        <f t="shared" si="85"/>
        <v>0</v>
      </c>
      <c r="O139" s="345" t="str">
        <f t="shared" si="86"/>
        <v>N/A</v>
      </c>
    </row>
    <row r="140" spans="1:15" hidden="1" outlineLevel="1" x14ac:dyDescent="0.25">
      <c r="A140" s="276"/>
      <c r="B140" s="362"/>
      <c r="C140" s="794"/>
      <c r="D140" s="771"/>
      <c r="E140" s="364"/>
      <c r="F140" s="365"/>
      <c r="G140" s="365"/>
      <c r="H140" s="365"/>
      <c r="I140" s="365"/>
      <c r="J140" s="365"/>
      <c r="K140" s="365"/>
      <c r="L140" s="366"/>
      <c r="M140" s="363"/>
      <c r="N140" s="363">
        <f t="shared" si="85"/>
        <v>0</v>
      </c>
      <c r="O140" s="345" t="str">
        <f t="shared" si="86"/>
        <v>N/A</v>
      </c>
    </row>
    <row r="141" spans="1:15" hidden="1" outlineLevel="1" x14ac:dyDescent="0.25">
      <c r="A141" s="276"/>
      <c r="B141" s="362"/>
      <c r="C141" s="794"/>
      <c r="D141" s="771"/>
      <c r="E141" s="364"/>
      <c r="F141" s="365"/>
      <c r="G141" s="365"/>
      <c r="H141" s="365"/>
      <c r="I141" s="365"/>
      <c r="J141" s="365"/>
      <c r="K141" s="365"/>
      <c r="L141" s="366"/>
      <c r="M141" s="363"/>
      <c r="N141" s="363">
        <f t="shared" si="85"/>
        <v>0</v>
      </c>
      <c r="O141" s="345" t="str">
        <f t="shared" si="86"/>
        <v>N/A</v>
      </c>
    </row>
    <row r="142" spans="1:15" hidden="1" outlineLevel="1" x14ac:dyDescent="0.25">
      <c r="A142" s="276"/>
      <c r="B142" s="362"/>
      <c r="C142" s="794"/>
      <c r="D142" s="772"/>
      <c r="E142" s="364"/>
      <c r="F142" s="365"/>
      <c r="G142" s="365"/>
      <c r="H142" s="365"/>
      <c r="I142" s="365"/>
      <c r="J142" s="365"/>
      <c r="K142" s="365"/>
      <c r="L142" s="366"/>
      <c r="M142" s="363"/>
      <c r="N142" s="363">
        <f t="shared" si="85"/>
        <v>0</v>
      </c>
      <c r="O142" s="345" t="str">
        <f t="shared" si="86"/>
        <v>N/A</v>
      </c>
    </row>
    <row r="143" spans="1:15" hidden="1" outlineLevel="1" x14ac:dyDescent="0.25">
      <c r="A143" s="282"/>
      <c r="B143" s="367"/>
      <c r="C143" s="795"/>
      <c r="D143" s="773"/>
      <c r="E143" s="350"/>
      <c r="F143" s="351"/>
      <c r="G143" s="351"/>
      <c r="H143" s="351"/>
      <c r="I143" s="351"/>
      <c r="J143" s="351"/>
      <c r="K143" s="351"/>
      <c r="L143" s="352"/>
      <c r="M143" s="368"/>
      <c r="N143" s="368">
        <f t="shared" si="85"/>
        <v>0</v>
      </c>
      <c r="O143" s="345" t="str">
        <f t="shared" si="86"/>
        <v>N/A</v>
      </c>
    </row>
    <row r="144" spans="1:15" hidden="1" outlineLevel="1" x14ac:dyDescent="0.25">
      <c r="A144" s="369" t="s">
        <v>111</v>
      </c>
      <c r="B144" s="738" t="s">
        <v>283</v>
      </c>
      <c r="C144" s="744"/>
      <c r="D144" s="370">
        <f>SUM(E144:L144)</f>
        <v>0</v>
      </c>
      <c r="E144" s="371">
        <f>E136*'Panoramica Cashflow'!C14</f>
        <v>0</v>
      </c>
      <c r="F144" s="371">
        <f>(F136+E136)*C144</f>
        <v>0</v>
      </c>
      <c r="G144" s="371">
        <f>(G136+F136+E136)*C144</f>
        <v>0</v>
      </c>
      <c r="H144" s="371">
        <f>(H136+G136+F136+E136)*C144</f>
        <v>0</v>
      </c>
      <c r="I144" s="371">
        <f>(I136+H136+G136+F136+E136)*C144</f>
        <v>0</v>
      </c>
      <c r="J144" s="371">
        <f>(J136+I136+H136+G136+F136+E136)*C144</f>
        <v>0</v>
      </c>
      <c r="K144" s="371">
        <f>(K136+J136+I136+H136+G136+F136+E136)*C144</f>
        <v>0</v>
      </c>
      <c r="L144" s="372">
        <f>(L136+K136+J136+I136+H136+G136+F136+E136)*C144</f>
        <v>0</v>
      </c>
      <c r="M144" s="774"/>
      <c r="N144" s="317"/>
    </row>
    <row r="145" spans="1:34" hidden="1" outlineLevel="1" x14ac:dyDescent="0.25">
      <c r="A145" s="373" t="s">
        <v>112</v>
      </c>
      <c r="B145" s="374" t="s">
        <v>129</v>
      </c>
      <c r="C145" s="714"/>
      <c r="D145" s="375">
        <f>SUM(E145:L145)</f>
        <v>0</v>
      </c>
      <c r="E145" s="376">
        <f>E133*C145</f>
        <v>0</v>
      </c>
      <c r="F145" s="376">
        <f>(F133+E133)*C145</f>
        <v>0</v>
      </c>
      <c r="G145" s="376">
        <f>(G133+F133+E133)*C145</f>
        <v>0</v>
      </c>
      <c r="H145" s="376">
        <f>(H133+G133+F133+E133)*C145</f>
        <v>0</v>
      </c>
      <c r="I145" s="376">
        <f>(I133+H133+G133+F133+E133)*C145</f>
        <v>0</v>
      </c>
      <c r="J145" s="376">
        <f>(J133+I133+H133+G133+F133+E133)*C145</f>
        <v>0</v>
      </c>
      <c r="K145" s="376">
        <f>(K133+J133+I133+H133+G133+F133+E133)*C145</f>
        <v>0</v>
      </c>
      <c r="L145" s="377">
        <f>(L133+K133+J133+I133+H133+G133+F133+E133)*C145</f>
        <v>0</v>
      </c>
      <c r="M145" s="774"/>
    </row>
    <row r="146" spans="1:34" hidden="1" outlineLevel="1" x14ac:dyDescent="0.25">
      <c r="A146" s="739" t="s">
        <v>356</v>
      </c>
      <c r="B146" s="740"/>
      <c r="C146" s="741"/>
      <c r="D146" s="742">
        <f>SUM(E146:L146)</f>
        <v>0</v>
      </c>
      <c r="E146" s="380">
        <f>SUMPRODUCT(E137:E143,C137:C143)</f>
        <v>0</v>
      </c>
      <c r="F146" s="380">
        <f>SUM(E139:F139)*C139+SUM(E140:F140)*C140+SUM(E141:F141)*C141+SUM(E142:F142)*C142+SUM(E143:F143)*C143+SUM(E138:F138)*C138+SUM(E137:F137)*C137</f>
        <v>0</v>
      </c>
      <c r="G146" s="380">
        <f>SUM(E139:G139)*C139+SUM(E140:G140)*C140+SUM(E141:G141)*C141+SUM(E142:G142)*C142+SUM(E143:G143)*C143+SUM(E138:G138)*C138+SUM(E137:G137)*C137</f>
        <v>0</v>
      </c>
      <c r="H146" s="380">
        <f>SUM(E139:H139)*C139+SUM(E140:H140)*C140+SUM(E141:H141)*C141+SUM(E142:H142)*C142+SUM(E143:H143)*C143+SUM(E138:H138)*C138+SUM(E137:H137)*C137</f>
        <v>0</v>
      </c>
      <c r="I146" s="380">
        <f>SUM(E139:I139)*C139+SUM(E140:I140)*C140+SUM(E141:I141)*C141+SUM(E142:I142)*C142+SUM(E143:I143)*C143+SUM(E138:I138)*C138+SUM(E137:I137)*C137</f>
        <v>0</v>
      </c>
      <c r="J146" s="380">
        <f>SUM(E139:J139)*C139+SUM(E140:J140)*C140+SUM(E141:J141)*C141+SUM(E142:J142)*C142+SUM(E143:J143)*C143+SUM(E138:J138)*C138+SUM(E137:J137)*C137</f>
        <v>0</v>
      </c>
      <c r="K146" s="380">
        <f>SUM(E139:K139)*C139+SUM(E140:K140)*C140+SUM(E141:K141)*C141+SUM(E142:K142)*C142+SUM(E143:K143)*C143+SUM(E138:K138)*C138+SUM(E137:K137)*C137</f>
        <v>0</v>
      </c>
      <c r="L146" s="743">
        <f>SUM(E139:L139)*C139+SUM(E140:L140)*C140+SUM(E141:L141)*C141+SUM(E142:L142)*C142+SUM(E143:L143)*C143+SUM(E138:L138)*C138+SUM(E137:L137)*C137</f>
        <v>0</v>
      </c>
      <c r="M146" s="774"/>
    </row>
    <row r="147" spans="1:34" collapsed="1" x14ac:dyDescent="0.25">
      <c r="A147" s="253"/>
      <c r="B147" s="317"/>
      <c r="C147" s="316"/>
      <c r="D147" s="378"/>
      <c r="F147" s="379"/>
      <c r="G147" s="379"/>
      <c r="H147" s="379"/>
      <c r="I147" s="379"/>
      <c r="J147" s="379"/>
      <c r="K147" s="379"/>
    </row>
    <row r="148" spans="1:34" s="570" customFormat="1" ht="18" x14ac:dyDescent="0.25">
      <c r="A148" s="567" t="s">
        <v>121</v>
      </c>
      <c r="B148" s="568"/>
      <c r="C148" s="715"/>
      <c r="D148" s="568"/>
      <c r="E148" s="568"/>
      <c r="F148" s="568"/>
      <c r="G148" s="568"/>
      <c r="H148" s="568"/>
      <c r="I148" s="567"/>
      <c r="J148" s="568"/>
      <c r="K148" s="568"/>
      <c r="L148" s="568"/>
      <c r="M148" s="5"/>
      <c r="N148" s="5"/>
      <c r="O148" s="5"/>
      <c r="P148" s="5"/>
      <c r="Q148" s="609"/>
      <c r="R148" s="609"/>
      <c r="S148" s="609"/>
      <c r="T148" s="609"/>
      <c r="U148" s="572"/>
      <c r="V148" s="569"/>
      <c r="W148" s="569"/>
      <c r="X148" s="569"/>
      <c r="Y148" s="569"/>
      <c r="Z148" s="569"/>
      <c r="AA148" s="569"/>
      <c r="AB148" s="569"/>
      <c r="AC148" s="569"/>
      <c r="AD148" s="569"/>
      <c r="AE148" s="573"/>
      <c r="AF148" s="573"/>
      <c r="AG148" s="573"/>
      <c r="AH148" s="573"/>
    </row>
    <row r="149" spans="1:34" s="332" customFormat="1" ht="31.5" outlineLevel="1" x14ac:dyDescent="0.25">
      <c r="A149" s="196"/>
      <c r="B149" s="381"/>
      <c r="C149" s="716"/>
      <c r="D149" s="328" t="s">
        <v>30</v>
      </c>
      <c r="E149" s="330" t="str">
        <f>'Conto economico'!C8</f>
        <v>n = anno precedente</v>
      </c>
      <c r="F149" s="330" t="str">
        <f>'Conto economico'!D8</f>
        <v>n+1 
(1° anno PSR)</v>
      </c>
      <c r="G149" s="330" t="str">
        <f>'Conto economico'!E8</f>
        <v>n+2</v>
      </c>
      <c r="H149" s="330" t="str">
        <f>'Conto economico'!F8</f>
        <v>n+3</v>
      </c>
      <c r="I149" s="330" t="str">
        <f>'Conto economico'!G8</f>
        <v>n+4</v>
      </c>
      <c r="J149" s="330" t="str">
        <f>'Conto economico'!H8</f>
        <v>n+5</v>
      </c>
      <c r="K149" s="330" t="str">
        <f>'Conto economico'!I8</f>
        <v>n+6</v>
      </c>
      <c r="L149" s="330" t="str">
        <f>'Conto economico'!J8</f>
        <v>1° anno dopo l'attuazione</v>
      </c>
      <c r="M149" s="5"/>
      <c r="N149" s="5"/>
      <c r="O149" s="5"/>
      <c r="P149" s="5"/>
      <c r="Q149" s="5"/>
      <c r="R149" s="5"/>
      <c r="S149" s="5"/>
      <c r="T149" s="5"/>
      <c r="U149" s="5"/>
      <c r="V149" s="5"/>
      <c r="W149" s="5"/>
      <c r="X149" s="5"/>
      <c r="Y149" s="5"/>
      <c r="Z149" s="5"/>
      <c r="AA149" s="5"/>
      <c r="AB149" s="5"/>
      <c r="AC149" s="5"/>
      <c r="AD149" s="5"/>
    </row>
    <row r="150" spans="1:34" outlineLevel="1" x14ac:dyDescent="0.25">
      <c r="A150" s="382" t="s">
        <v>122</v>
      </c>
      <c r="B150" s="383"/>
      <c r="C150" s="384"/>
      <c r="D150" s="385"/>
      <c r="E150" s="386"/>
      <c r="F150" s="387"/>
      <c r="G150" s="387"/>
      <c r="H150" s="387"/>
      <c r="I150" s="387"/>
      <c r="J150" s="387"/>
      <c r="K150" s="387"/>
      <c r="L150" s="383"/>
    </row>
    <row r="151" spans="1:34" outlineLevel="1" x14ac:dyDescent="0.25">
      <c r="A151" s="369"/>
      <c r="B151" s="266"/>
      <c r="C151" s="388"/>
      <c r="D151" s="389">
        <f>SUM(E151:L151)</f>
        <v>0</v>
      </c>
      <c r="E151" s="390">
        <f>SUM(E152:E154)</f>
        <v>0</v>
      </c>
      <c r="F151" s="391">
        <f t="shared" ref="F151:I151" si="87">SUM(F152:F154)</f>
        <v>0</v>
      </c>
      <c r="G151" s="391">
        <f t="shared" si="87"/>
        <v>0</v>
      </c>
      <c r="H151" s="391">
        <f t="shared" si="87"/>
        <v>0</v>
      </c>
      <c r="I151" s="391">
        <f t="shared" si="87"/>
        <v>0</v>
      </c>
      <c r="J151" s="391">
        <f>SUM(J152:J154)</f>
        <v>0</v>
      </c>
      <c r="K151" s="391">
        <f>SUM(K152:K154)</f>
        <v>0</v>
      </c>
      <c r="L151" s="391">
        <f>SUM(L152:L154)</f>
        <v>0</v>
      </c>
    </row>
    <row r="152" spans="1:34" outlineLevel="1" x14ac:dyDescent="0.25">
      <c r="A152" s="276" t="s">
        <v>123</v>
      </c>
      <c r="B152" s="392"/>
      <c r="C152" s="717"/>
      <c r="D152" s="393">
        <f>SUM(E152:L152)</f>
        <v>0</v>
      </c>
      <c r="E152" s="394"/>
      <c r="F152" s="365"/>
      <c r="G152" s="365"/>
      <c r="H152" s="365"/>
      <c r="I152" s="365"/>
      <c r="J152" s="365"/>
      <c r="K152" s="365"/>
      <c r="L152" s="365"/>
    </row>
    <row r="153" spans="1:34" outlineLevel="1" x14ac:dyDescent="0.25">
      <c r="A153" s="276" t="s">
        <v>124</v>
      </c>
      <c r="B153" s="392"/>
      <c r="C153" s="717"/>
      <c r="D153" s="393">
        <f>SUM(E153:L153)</f>
        <v>0</v>
      </c>
      <c r="E153" s="394"/>
      <c r="F153" s="365"/>
      <c r="G153" s="365"/>
      <c r="H153" s="365"/>
      <c r="I153" s="365"/>
      <c r="J153" s="365"/>
      <c r="K153" s="365"/>
      <c r="L153" s="365"/>
    </row>
    <row r="154" spans="1:34" outlineLevel="1" x14ac:dyDescent="0.25">
      <c r="B154" s="392"/>
      <c r="C154" s="717"/>
      <c r="D154" s="393">
        <f>SUM(E154:L154)</f>
        <v>0</v>
      </c>
      <c r="E154" s="394"/>
      <c r="F154" s="365"/>
      <c r="G154" s="365"/>
      <c r="H154" s="365"/>
      <c r="I154" s="365"/>
      <c r="J154" s="365"/>
      <c r="K154" s="365"/>
      <c r="L154" s="365"/>
    </row>
    <row r="155" spans="1:34" x14ac:dyDescent="0.25">
      <c r="A155" s="253"/>
      <c r="B155" s="317"/>
      <c r="C155" s="316"/>
      <c r="D155" s="316"/>
      <c r="E155" s="379"/>
      <c r="F155" s="379"/>
      <c r="G155" s="379"/>
      <c r="I155" s="379"/>
      <c r="J155" s="379"/>
      <c r="K155" s="379"/>
      <c r="L155" s="379"/>
    </row>
    <row r="156" spans="1:34" s="570" customFormat="1" ht="18" x14ac:dyDescent="0.25">
      <c r="A156" s="760" t="s">
        <v>355</v>
      </c>
      <c r="B156" s="568"/>
      <c r="C156" s="568"/>
      <c r="D156" s="568" t="s">
        <v>30</v>
      </c>
      <c r="E156" s="568"/>
      <c r="F156" s="568"/>
      <c r="G156" s="568"/>
      <c r="H156" s="567"/>
      <c r="I156" s="568"/>
      <c r="J156" s="568"/>
      <c r="K156" s="568"/>
      <c r="L156" s="568"/>
      <c r="M156" s="5"/>
      <c r="N156" s="5"/>
      <c r="O156" s="5"/>
      <c r="P156" s="5"/>
      <c r="Q156" s="609"/>
      <c r="R156" s="609"/>
      <c r="S156" s="609"/>
      <c r="T156" s="572"/>
      <c r="U156" s="569"/>
      <c r="V156" s="569"/>
      <c r="W156" s="569"/>
      <c r="X156" s="569"/>
      <c r="Y156" s="569"/>
      <c r="Z156" s="569"/>
      <c r="AA156" s="569"/>
      <c r="AB156" s="569"/>
      <c r="AC156" s="569"/>
      <c r="AD156" s="573"/>
      <c r="AE156" s="573"/>
      <c r="AF156" s="573"/>
      <c r="AG156" s="573"/>
    </row>
    <row r="157" spans="1:34" s="194" customFormat="1" ht="20.45" customHeight="1" outlineLevel="1" x14ac:dyDescent="0.25">
      <c r="A157" s="324" t="s">
        <v>234</v>
      </c>
      <c r="B157" s="783" t="s">
        <v>363</v>
      </c>
      <c r="C157" s="319"/>
      <c r="D157" s="788">
        <f>SUM(E157:L157)</f>
        <v>0</v>
      </c>
      <c r="E157" s="321">
        <f>SUMIF($B$14:$B$147,"Mutuo di terzi",E14:E147)</f>
        <v>0</v>
      </c>
      <c r="F157" s="321">
        <f>SUMIF($B$14:$B$147,"Mutuo di terzi",F14:F147)</f>
        <v>0</v>
      </c>
      <c r="G157" s="321">
        <f t="shared" ref="G157:L157" si="88">SUMIF($B$14:$B$147,"Mutuo di terzi",G14:G147)</f>
        <v>0</v>
      </c>
      <c r="H157" s="321">
        <f t="shared" si="88"/>
        <v>0</v>
      </c>
      <c r="I157" s="321">
        <f t="shared" si="88"/>
        <v>0</v>
      </c>
      <c r="J157" s="321">
        <f>SUMIF($B$14:$B$147,"Mutuo di terzi",J14:J147)</f>
        <v>0</v>
      </c>
      <c r="K157" s="321">
        <f t="shared" si="88"/>
        <v>0</v>
      </c>
      <c r="L157" s="321">
        <f t="shared" si="88"/>
        <v>0</v>
      </c>
      <c r="M157" s="5"/>
      <c r="N157" s="5"/>
      <c r="O157" s="5"/>
      <c r="P157" s="5"/>
      <c r="Q157" s="5"/>
      <c r="R157" s="5"/>
      <c r="S157" s="5"/>
      <c r="T157" s="5"/>
      <c r="U157" s="5"/>
      <c r="V157" s="5"/>
      <c r="W157" s="5"/>
      <c r="X157" s="5"/>
      <c r="Y157" s="5"/>
      <c r="Z157" s="5"/>
      <c r="AA157" s="5"/>
      <c r="AB157" s="5"/>
    </row>
    <row r="158" spans="1:34" s="194" customFormat="1" ht="20.45" customHeight="1" outlineLevel="1" x14ac:dyDescent="0.25">
      <c r="A158" s="324" t="s">
        <v>235</v>
      </c>
      <c r="B158" s="783" t="s">
        <v>363</v>
      </c>
      <c r="C158" s="319"/>
      <c r="D158" s="788">
        <f t="shared" ref="D158:D161" si="89">SUM(E158:L158)</f>
        <v>0</v>
      </c>
      <c r="E158" s="321">
        <f>SUMIF($B$14:$B$147,"Mutuo bancario",E14:E147)</f>
        <v>0</v>
      </c>
      <c r="F158" s="321">
        <f>SUMIF($B$14:$B$147,"Mutuo bancario",F14:F147)</f>
        <v>0</v>
      </c>
      <c r="G158" s="321">
        <f t="shared" ref="G158:L158" si="90">SUMIF($B$14:$B$147,"Mutuo bancario",G14:G147)</f>
        <v>0</v>
      </c>
      <c r="H158" s="321">
        <f t="shared" si="90"/>
        <v>0</v>
      </c>
      <c r="I158" s="321">
        <f t="shared" si="90"/>
        <v>0</v>
      </c>
      <c r="J158" s="321">
        <f t="shared" si="90"/>
        <v>0</v>
      </c>
      <c r="K158" s="321">
        <f t="shared" si="90"/>
        <v>0</v>
      </c>
      <c r="L158" s="321">
        <f t="shared" si="90"/>
        <v>0</v>
      </c>
      <c r="M158" s="5"/>
      <c r="N158" s="5"/>
      <c r="O158" s="5"/>
      <c r="P158" s="5"/>
      <c r="Q158" s="5"/>
      <c r="R158" s="5"/>
      <c r="S158" s="5"/>
      <c r="T158" s="5"/>
      <c r="U158" s="5"/>
      <c r="V158" s="5"/>
      <c r="W158" s="5"/>
      <c r="X158" s="5"/>
      <c r="Y158" s="5"/>
      <c r="Z158" s="5"/>
      <c r="AA158" s="5"/>
      <c r="AB158" s="5"/>
    </row>
    <row r="159" spans="1:34" s="194" customFormat="1" ht="20.45" customHeight="1" outlineLevel="1" x14ac:dyDescent="0.25">
      <c r="A159" s="324" t="s">
        <v>127</v>
      </c>
      <c r="B159" s="783" t="s">
        <v>363</v>
      </c>
      <c r="C159" s="319"/>
      <c r="D159" s="788">
        <f t="shared" si="89"/>
        <v>0</v>
      </c>
      <c r="E159" s="321">
        <f>SUMIF($B$14:$B$147,"Ipoteca",E14:E147)</f>
        <v>0</v>
      </c>
      <c r="F159" s="321">
        <f>SUMIF($B$14:$B$147,"Ipoteca",F14:F147)</f>
        <v>0</v>
      </c>
      <c r="G159" s="321">
        <f>SUMIF($B$14:$B$147,"Ipoteca",G14:G147)</f>
        <v>0</v>
      </c>
      <c r="H159" s="321">
        <f>SUMIF($B$14:$B$147,"Ipoteca",H14:H147)</f>
        <v>0</v>
      </c>
      <c r="I159" s="321">
        <f>SUMIF($B$14:$B$147,"Ipoteca",I14:I147)</f>
        <v>0</v>
      </c>
      <c r="J159" s="321">
        <f t="shared" ref="J159:L159" si="91">SUMIF($B$14:$B$147,"Ipoteca",J14:J147)</f>
        <v>0</v>
      </c>
      <c r="K159" s="321">
        <f t="shared" si="91"/>
        <v>0</v>
      </c>
      <c r="L159" s="321">
        <f t="shared" si="91"/>
        <v>0</v>
      </c>
      <c r="M159" s="5"/>
      <c r="N159" s="5"/>
      <c r="O159" s="5"/>
      <c r="P159" s="5"/>
      <c r="Q159" s="5"/>
      <c r="R159" s="5"/>
      <c r="S159" s="5"/>
      <c r="T159" s="5"/>
      <c r="U159" s="5"/>
      <c r="V159" s="5"/>
      <c r="W159" s="5"/>
      <c r="X159" s="5"/>
      <c r="Y159" s="5"/>
      <c r="Z159" s="5"/>
      <c r="AA159" s="5"/>
      <c r="AB159" s="5"/>
    </row>
    <row r="160" spans="1:34" s="194" customFormat="1" ht="20.45" customHeight="1" outlineLevel="1" x14ac:dyDescent="0.25">
      <c r="A160" s="324" t="s">
        <v>236</v>
      </c>
      <c r="B160" s="783" t="s">
        <v>363</v>
      </c>
      <c r="C160" s="319"/>
      <c r="D160" s="788">
        <f t="shared" si="89"/>
        <v>0</v>
      </c>
      <c r="E160" s="321">
        <f>SUMIF($B$14:$B$147,"Credito d'investimento",E14:E147)</f>
        <v>0</v>
      </c>
      <c r="F160" s="321">
        <f>SUMIF($B$14:$B$147,"Credito d'investimento",F14:F147)</f>
        <v>0</v>
      </c>
      <c r="G160" s="321">
        <f>SUMIF($B$14:$B$147,"Credito d'investimento",G14:G147)</f>
        <v>0</v>
      </c>
      <c r="H160" s="321">
        <f>SUMIF($B$14:$B$147,"Credito d'investimento",H14:H147)</f>
        <v>0</v>
      </c>
      <c r="I160" s="321">
        <f>SUMIF($B$14:$B$147,"Credito d'investimento",I14:I147)</f>
        <v>0</v>
      </c>
      <c r="J160" s="321">
        <f t="shared" ref="J160:L160" si="92">SUMIF($B$14:$B$147,"Credito d'investimento",J14:J147)</f>
        <v>0</v>
      </c>
      <c r="K160" s="321">
        <f t="shared" si="92"/>
        <v>0</v>
      </c>
      <c r="L160" s="321">
        <f t="shared" si="92"/>
        <v>0</v>
      </c>
      <c r="M160" s="5"/>
      <c r="N160" s="5"/>
      <c r="O160" s="5"/>
      <c r="P160" s="5"/>
      <c r="Q160" s="5"/>
      <c r="R160" s="5"/>
      <c r="S160" s="5"/>
      <c r="T160" s="5"/>
      <c r="U160" s="5"/>
      <c r="V160" s="5"/>
      <c r="W160" s="5"/>
      <c r="X160" s="5"/>
      <c r="Y160" s="5"/>
      <c r="Z160" s="5"/>
      <c r="AA160" s="5"/>
      <c r="AB160" s="5"/>
    </row>
    <row r="161" spans="1:29" s="194" customFormat="1" ht="20.45" customHeight="1" outlineLevel="1" x14ac:dyDescent="0.25">
      <c r="A161" s="719" t="s">
        <v>237</v>
      </c>
      <c r="B161" s="783" t="s">
        <v>363</v>
      </c>
      <c r="C161" s="709"/>
      <c r="D161" s="788">
        <f t="shared" si="89"/>
        <v>0</v>
      </c>
      <c r="E161" s="711">
        <f>SUMIF($B$14:$B$147,"Finanziamento residuo sconosciuto ",E14:E147)</f>
        <v>0</v>
      </c>
      <c r="F161" s="711">
        <f>SUMIF($B$14:$B$147,"Finanziamento residuo sconosciuto ",F14:F147)</f>
        <v>0</v>
      </c>
      <c r="G161" s="711">
        <f t="shared" ref="G161:L161" si="93">SUMIF($B$14:$B$147,"Finanziamento residuo sconosciuto ",G14:G147)</f>
        <v>0</v>
      </c>
      <c r="H161" s="711">
        <f t="shared" si="93"/>
        <v>0</v>
      </c>
      <c r="I161" s="711">
        <f t="shared" si="93"/>
        <v>0</v>
      </c>
      <c r="J161" s="711">
        <f t="shared" si="93"/>
        <v>0</v>
      </c>
      <c r="K161" s="711">
        <f t="shared" si="93"/>
        <v>0</v>
      </c>
      <c r="L161" s="711">
        <f t="shared" si="93"/>
        <v>0</v>
      </c>
      <c r="M161" s="5"/>
      <c r="N161" s="5"/>
      <c r="O161" s="5"/>
      <c r="P161" s="5"/>
      <c r="Q161" s="5"/>
      <c r="R161" s="5"/>
      <c r="S161" s="5"/>
      <c r="T161" s="5"/>
      <c r="U161" s="5"/>
      <c r="V161" s="5"/>
      <c r="W161" s="5"/>
      <c r="X161" s="5"/>
      <c r="Y161" s="5"/>
      <c r="Z161" s="5"/>
      <c r="AA161" s="5"/>
      <c r="AB161" s="5"/>
    </row>
    <row r="162" spans="1:29" s="194" customFormat="1" ht="20.45" customHeight="1" outlineLevel="1" thickBot="1" x14ac:dyDescent="0.3">
      <c r="A162" s="761" t="s">
        <v>365</v>
      </c>
      <c r="B162" s="784"/>
      <c r="C162" s="712"/>
      <c r="D162" s="789">
        <f>SUM(E162:L162)</f>
        <v>0</v>
      </c>
      <c r="E162" s="713">
        <f>SUM(E157:E161)</f>
        <v>0</v>
      </c>
      <c r="F162" s="713">
        <f t="shared" ref="F162:K162" si="94">SUM(F157:F161)</f>
        <v>0</v>
      </c>
      <c r="G162" s="713">
        <f t="shared" si="94"/>
        <v>0</v>
      </c>
      <c r="H162" s="713">
        <f>SUM(H157:H161)</f>
        <v>0</v>
      </c>
      <c r="I162" s="713">
        <f t="shared" si="94"/>
        <v>0</v>
      </c>
      <c r="J162" s="713">
        <f t="shared" si="94"/>
        <v>0</v>
      </c>
      <c r="K162" s="713">
        <f t="shared" si="94"/>
        <v>0</v>
      </c>
      <c r="L162" s="713">
        <f>SUM(L157:L161)</f>
        <v>0</v>
      </c>
      <c r="M162" s="5"/>
      <c r="N162" s="5"/>
      <c r="O162" s="5"/>
      <c r="P162" s="5"/>
      <c r="Q162" s="5"/>
      <c r="R162" s="5"/>
      <c r="S162" s="5"/>
      <c r="T162" s="5"/>
      <c r="U162" s="5"/>
      <c r="V162" s="5"/>
      <c r="W162" s="5"/>
      <c r="X162" s="5"/>
      <c r="Y162" s="5"/>
      <c r="Z162" s="5"/>
      <c r="AA162" s="5"/>
      <c r="AB162" s="5"/>
    </row>
    <row r="163" spans="1:29" s="194" customFormat="1" ht="20.45" customHeight="1" outlineLevel="1" thickTop="1" x14ac:dyDescent="0.25">
      <c r="A163" s="776" t="s">
        <v>365</v>
      </c>
      <c r="B163" s="785" t="s">
        <v>252</v>
      </c>
      <c r="C163" s="709"/>
      <c r="D163" s="710"/>
      <c r="E163" s="711">
        <f>E162</f>
        <v>0</v>
      </c>
      <c r="F163" s="711">
        <f>F162+E163</f>
        <v>0</v>
      </c>
      <c r="G163" s="711">
        <f t="shared" ref="G163:L163" si="95">G162+F163</f>
        <v>0</v>
      </c>
      <c r="H163" s="711">
        <f t="shared" si="95"/>
        <v>0</v>
      </c>
      <c r="I163" s="711">
        <f t="shared" si="95"/>
        <v>0</v>
      </c>
      <c r="J163" s="711">
        <f t="shared" si="95"/>
        <v>0</v>
      </c>
      <c r="K163" s="711">
        <f t="shared" si="95"/>
        <v>0</v>
      </c>
      <c r="L163" s="711">
        <f t="shared" si="95"/>
        <v>0</v>
      </c>
      <c r="M163" s="5"/>
      <c r="N163" s="5"/>
      <c r="O163" s="5"/>
      <c r="P163" s="5"/>
      <c r="Q163" s="5"/>
      <c r="R163" s="5"/>
      <c r="S163" s="5"/>
      <c r="T163" s="5"/>
      <c r="U163" s="5"/>
      <c r="V163" s="5"/>
      <c r="W163" s="5"/>
      <c r="X163" s="5"/>
      <c r="Y163" s="5"/>
      <c r="Z163" s="5"/>
      <c r="AA163" s="5"/>
      <c r="AB163" s="5"/>
    </row>
    <row r="164" spans="1:29" s="194" customFormat="1" ht="20.45" customHeight="1" outlineLevel="1" x14ac:dyDescent="0.25">
      <c r="A164" s="324" t="s">
        <v>41</v>
      </c>
      <c r="B164" s="783" t="s">
        <v>363</v>
      </c>
      <c r="C164" s="319"/>
      <c r="D164" s="788">
        <f>SUM(E164:L164)</f>
        <v>0</v>
      </c>
      <c r="E164" s="321">
        <f>SUMIF($B$14:$B$147,"Capitale proprio",E14:E147)</f>
        <v>0</v>
      </c>
      <c r="F164" s="321">
        <f>SUMIF($B$14:$B$147,"Capitale proprio",F14:F147)</f>
        <v>0</v>
      </c>
      <c r="G164" s="321">
        <f t="shared" ref="G164:L164" si="96">SUMIF($B$14:$B$147,"Capitale proprio",G14:G147)</f>
        <v>0</v>
      </c>
      <c r="H164" s="321">
        <f t="shared" si="96"/>
        <v>0</v>
      </c>
      <c r="I164" s="321">
        <f t="shared" si="96"/>
        <v>0</v>
      </c>
      <c r="J164" s="321">
        <f t="shared" si="96"/>
        <v>0</v>
      </c>
      <c r="K164" s="321">
        <f t="shared" si="96"/>
        <v>0</v>
      </c>
      <c r="L164" s="321">
        <f t="shared" si="96"/>
        <v>0</v>
      </c>
      <c r="M164" s="5"/>
      <c r="N164" s="5"/>
      <c r="O164" s="5"/>
      <c r="P164" s="5"/>
      <c r="Q164" s="5"/>
      <c r="R164" s="5"/>
      <c r="S164" s="5"/>
      <c r="T164" s="5"/>
      <c r="U164" s="5"/>
      <c r="V164" s="5"/>
      <c r="W164" s="5"/>
      <c r="X164" s="5"/>
      <c r="Y164" s="5"/>
      <c r="Z164" s="5"/>
      <c r="AA164" s="5"/>
      <c r="AB164" s="5"/>
    </row>
    <row r="165" spans="1:29" s="194" customFormat="1" ht="20.45" customHeight="1" outlineLevel="1" x14ac:dyDescent="0.25">
      <c r="A165" s="324" t="s">
        <v>126</v>
      </c>
      <c r="B165" s="783" t="s">
        <v>363</v>
      </c>
      <c r="C165" s="319"/>
      <c r="D165" s="788">
        <f t="shared" ref="D165:D166" si="97">SUM(E165:L165)</f>
        <v>0</v>
      </c>
      <c r="E165" s="321">
        <f>SUMIF($B$14:$B$147,"Contributi Confederazione e Cantone",E14:E147)</f>
        <v>0</v>
      </c>
      <c r="F165" s="321">
        <f>SUMIF($B$14:$B$147,"Contributi Confederazione e Cantone",F14:F147)</f>
        <v>0</v>
      </c>
      <c r="G165" s="321">
        <f t="shared" ref="G165:L165" si="98">SUMIF($B$14:$B$147,"Contributi Confederazione e Cantone",G14:G147)</f>
        <v>0</v>
      </c>
      <c r="H165" s="321">
        <f t="shared" si="98"/>
        <v>0</v>
      </c>
      <c r="I165" s="321">
        <f t="shared" si="98"/>
        <v>0</v>
      </c>
      <c r="J165" s="321">
        <f t="shared" si="98"/>
        <v>0</v>
      </c>
      <c r="K165" s="321">
        <f t="shared" si="98"/>
        <v>0</v>
      </c>
      <c r="L165" s="321">
        <f t="shared" si="98"/>
        <v>0</v>
      </c>
      <c r="M165" s="5"/>
      <c r="N165" s="5"/>
      <c r="O165" s="5"/>
      <c r="P165" s="5"/>
      <c r="Q165" s="5"/>
      <c r="R165" s="5"/>
      <c r="S165" s="5"/>
      <c r="T165" s="5"/>
      <c r="U165" s="5"/>
      <c r="V165" s="5"/>
      <c r="W165" s="5"/>
      <c r="X165" s="5"/>
      <c r="Y165" s="5"/>
      <c r="Z165" s="5"/>
      <c r="AA165" s="5"/>
      <c r="AB165" s="5"/>
    </row>
    <row r="166" spans="1:29" s="194" customFormat="1" ht="20.45" customHeight="1" outlineLevel="1" x14ac:dyDescent="0.25">
      <c r="A166" s="324" t="s">
        <v>130</v>
      </c>
      <c r="B166" s="783" t="s">
        <v>363</v>
      </c>
      <c r="C166" s="319"/>
      <c r="D166" s="788">
        <f t="shared" si="97"/>
        <v>0</v>
      </c>
      <c r="E166" s="321">
        <f>SUMIF($B$14:$B$147,"Contributi di terzi a fondo perso",E14:E147)</f>
        <v>0</v>
      </c>
      <c r="F166" s="321">
        <f>SUMIF($B$14:$B$147,"Contributi di terzi a fondo perso",F14:F147)</f>
        <v>0</v>
      </c>
      <c r="G166" s="321">
        <f t="shared" ref="G166:L166" si="99">SUMIF($B$14:$B$147,"Contributi di terzi a fondo perso",G14:G147)</f>
        <v>0</v>
      </c>
      <c r="H166" s="321">
        <f t="shared" si="99"/>
        <v>0</v>
      </c>
      <c r="I166" s="321">
        <f t="shared" si="99"/>
        <v>0</v>
      </c>
      <c r="J166" s="321">
        <f t="shared" si="99"/>
        <v>0</v>
      </c>
      <c r="K166" s="321">
        <f t="shared" si="99"/>
        <v>0</v>
      </c>
      <c r="L166" s="321">
        <f t="shared" si="99"/>
        <v>0</v>
      </c>
      <c r="M166" s="5"/>
      <c r="N166" s="5"/>
      <c r="O166" s="5"/>
      <c r="P166" s="5"/>
      <c r="Q166" s="5"/>
      <c r="R166" s="5"/>
      <c r="S166" s="5"/>
      <c r="T166" s="5"/>
      <c r="U166" s="5"/>
      <c r="V166" s="5"/>
      <c r="W166" s="5"/>
      <c r="X166" s="5"/>
      <c r="Y166" s="5"/>
      <c r="Z166" s="5"/>
      <c r="AA166" s="5"/>
      <c r="AB166" s="5"/>
    </row>
    <row r="167" spans="1:29" s="194" customFormat="1" ht="20.45" customHeight="1" outlineLevel="1" thickBot="1" x14ac:dyDescent="0.3">
      <c r="A167" s="761" t="s">
        <v>357</v>
      </c>
      <c r="B167" s="784"/>
      <c r="C167" s="712"/>
      <c r="D167" s="789">
        <f>SUM(E167:L167)</f>
        <v>0</v>
      </c>
      <c r="E167" s="713">
        <f t="shared" ref="E167:L167" si="100">E162+SUM(E164:E166)</f>
        <v>0</v>
      </c>
      <c r="F167" s="713">
        <f t="shared" si="100"/>
        <v>0</v>
      </c>
      <c r="G167" s="713">
        <f t="shared" si="100"/>
        <v>0</v>
      </c>
      <c r="H167" s="713">
        <f t="shared" si="100"/>
        <v>0</v>
      </c>
      <c r="I167" s="713">
        <f t="shared" si="100"/>
        <v>0</v>
      </c>
      <c r="J167" s="713">
        <f t="shared" si="100"/>
        <v>0</v>
      </c>
      <c r="K167" s="713">
        <f t="shared" si="100"/>
        <v>0</v>
      </c>
      <c r="L167" s="713">
        <f t="shared" si="100"/>
        <v>0</v>
      </c>
      <c r="M167" s="5"/>
      <c r="N167" s="5"/>
      <c r="O167" s="5"/>
      <c r="P167" s="5"/>
      <c r="Q167" s="5"/>
      <c r="R167" s="5"/>
      <c r="S167" s="5"/>
      <c r="T167" s="5"/>
      <c r="U167" s="5"/>
      <c r="V167" s="5"/>
      <c r="W167" s="5"/>
      <c r="X167" s="5"/>
      <c r="Y167" s="5"/>
      <c r="Z167" s="5"/>
      <c r="AA167" s="5"/>
      <c r="AB167" s="5"/>
    </row>
    <row r="168" spans="1:29" s="194" customFormat="1" ht="20.45" customHeight="1" outlineLevel="1" thickTop="1" x14ac:dyDescent="0.25">
      <c r="A168" s="722" t="s">
        <v>68</v>
      </c>
      <c r="B168" s="786"/>
      <c r="C168" s="723"/>
      <c r="D168" s="724"/>
      <c r="E168" s="725" t="e">
        <f>E163/'Panoramica Cashflow'!E8</f>
        <v>#DIV/0!</v>
      </c>
      <c r="F168" s="725" t="e">
        <f>F163/'Panoramica Cashflow'!F8</f>
        <v>#DIV/0!</v>
      </c>
      <c r="G168" s="725" t="e">
        <f>G163/'Panoramica Cashflow'!G8</f>
        <v>#DIV/0!</v>
      </c>
      <c r="H168" s="725" t="e">
        <f>H163/'Panoramica Cashflow'!H8</f>
        <v>#DIV/0!</v>
      </c>
      <c r="I168" s="725" t="e">
        <f>I163/'Panoramica Cashflow'!I8</f>
        <v>#DIV/0!</v>
      </c>
      <c r="J168" s="725" t="e">
        <f>J163/'Panoramica Cashflow'!J8</f>
        <v>#DIV/0!</v>
      </c>
      <c r="K168" s="725" t="e">
        <f>K163/'Panoramica Cashflow'!K8</f>
        <v>#DIV/0!</v>
      </c>
      <c r="L168" s="725" t="e">
        <f>L163/'Panoramica Cashflow'!L8</f>
        <v>#DIV/0!</v>
      </c>
      <c r="M168" s="5"/>
      <c r="N168" s="5"/>
      <c r="O168" s="5"/>
      <c r="P168" s="5"/>
      <c r="Q168" s="5"/>
      <c r="R168" s="5"/>
      <c r="S168" s="5"/>
      <c r="T168" s="5"/>
      <c r="U168" s="5"/>
      <c r="V168" s="5"/>
      <c r="W168" s="5"/>
      <c r="X168" s="5"/>
      <c r="Y168" s="5"/>
      <c r="Z168" s="5"/>
      <c r="AA168" s="5"/>
      <c r="AB168" s="5"/>
    </row>
    <row r="169" spans="1:29" s="194" customFormat="1" ht="24.95" customHeight="1" outlineLevel="1" x14ac:dyDescent="0.25">
      <c r="A169" s="324"/>
      <c r="B169" s="783"/>
      <c r="C169" s="719"/>
      <c r="D169" s="320"/>
      <c r="E169" s="720"/>
      <c r="F169" s="720"/>
      <c r="G169" s="720"/>
      <c r="H169" s="720"/>
      <c r="I169" s="720"/>
      <c r="J169" s="720"/>
      <c r="K169" s="720"/>
      <c r="L169" s="731"/>
      <c r="M169" s="5"/>
      <c r="N169" s="5"/>
      <c r="O169" s="5"/>
      <c r="P169" s="5"/>
      <c r="Q169" s="5"/>
      <c r="R169" s="5"/>
      <c r="S169" s="5"/>
      <c r="T169" s="5"/>
      <c r="U169" s="5"/>
      <c r="V169" s="5"/>
      <c r="W169" s="5"/>
      <c r="X169" s="5"/>
      <c r="Y169" s="5"/>
      <c r="Z169" s="5"/>
      <c r="AA169" s="5"/>
      <c r="AB169" s="5"/>
      <c r="AC169" s="5"/>
    </row>
    <row r="170" spans="1:29" s="194" customFormat="1" ht="20.45" customHeight="1" outlineLevel="1" x14ac:dyDescent="0.25">
      <c r="A170" s="318" t="s">
        <v>108</v>
      </c>
      <c r="B170" s="787" t="s">
        <v>363</v>
      </c>
      <c r="C170" s="777"/>
      <c r="D170" s="778">
        <f>SUM(E170:L170)</f>
        <v>0</v>
      </c>
      <c r="E170" s="322">
        <f>E13+E28+E43+E58+E73+E88+E103+E118+E133</f>
        <v>0</v>
      </c>
      <c r="F170" s="322">
        <f>F13+F28+F43+F58+F73+F88+F103+F118+F133</f>
        <v>0</v>
      </c>
      <c r="G170" s="322">
        <f t="shared" ref="G170:L170" si="101">G13+G28+G43+G58+G73+G88+G103+G118+G133</f>
        <v>0</v>
      </c>
      <c r="H170" s="322">
        <f>H13+H28+H43+H58+H73+H88+H103+H118+H133</f>
        <v>0</v>
      </c>
      <c r="I170" s="322">
        <f t="shared" si="101"/>
        <v>0</v>
      </c>
      <c r="J170" s="322">
        <f t="shared" si="101"/>
        <v>0</v>
      </c>
      <c r="K170" s="322">
        <f t="shared" si="101"/>
        <v>0</v>
      </c>
      <c r="L170" s="323">
        <f t="shared" si="101"/>
        <v>0</v>
      </c>
      <c r="M170" s="720"/>
      <c r="P170" s="5"/>
      <c r="Q170" s="5"/>
      <c r="R170" s="5"/>
      <c r="S170" s="5"/>
      <c r="T170" s="5"/>
      <c r="U170" s="5"/>
      <c r="V170" s="5"/>
      <c r="W170" s="5"/>
      <c r="X170" s="5"/>
      <c r="Y170" s="5"/>
      <c r="Z170" s="5"/>
      <c r="AA170" s="5"/>
      <c r="AB170" s="5"/>
    </row>
    <row r="171" spans="1:29" s="194" customFormat="1" ht="20.45" customHeight="1" outlineLevel="1" x14ac:dyDescent="0.25">
      <c r="A171" s="324" t="s">
        <v>109</v>
      </c>
      <c r="B171" s="783" t="s">
        <v>363</v>
      </c>
      <c r="C171" s="790"/>
      <c r="D171" s="779">
        <f t="shared" ref="D171:D173" si="102">SUM(E171:L171)</f>
        <v>0</v>
      </c>
      <c r="E171" s="321">
        <f t="shared" ref="E171:L171" si="103">SUMIF($A$13:$A$146,"Ammortamento",E13:E146)</f>
        <v>0</v>
      </c>
      <c r="F171" s="321">
        <f t="shared" si="103"/>
        <v>0</v>
      </c>
      <c r="G171" s="321">
        <f t="shared" si="103"/>
        <v>0</v>
      </c>
      <c r="H171" s="321">
        <f t="shared" si="103"/>
        <v>0</v>
      </c>
      <c r="I171" s="321">
        <f t="shared" si="103"/>
        <v>0</v>
      </c>
      <c r="J171" s="321">
        <f>SUMIF($A$13:$A$146,"Ammortamento",J13:J146)</f>
        <v>0</v>
      </c>
      <c r="K171" s="321">
        <f t="shared" si="103"/>
        <v>0</v>
      </c>
      <c r="L171" s="321">
        <f t="shared" si="103"/>
        <v>0</v>
      </c>
      <c r="M171" s="720"/>
      <c r="O171" s="721"/>
      <c r="P171" s="5"/>
      <c r="Q171" s="5"/>
      <c r="R171" s="5"/>
      <c r="S171" s="5"/>
      <c r="T171" s="5"/>
      <c r="U171" s="5"/>
      <c r="V171" s="5"/>
      <c r="W171" s="5"/>
      <c r="X171" s="5"/>
      <c r="Y171" s="5"/>
      <c r="Z171" s="5"/>
      <c r="AA171" s="5"/>
      <c r="AB171" s="5"/>
    </row>
    <row r="172" spans="1:29" s="194" customFormat="1" ht="20.45" customHeight="1" outlineLevel="1" x14ac:dyDescent="0.25">
      <c r="A172" s="324" t="s">
        <v>110</v>
      </c>
      <c r="B172" s="783" t="s">
        <v>363</v>
      </c>
      <c r="C172" s="791"/>
      <c r="D172" s="780">
        <f t="shared" si="102"/>
        <v>0</v>
      </c>
      <c r="E172" s="321">
        <f t="shared" ref="E172:L172" si="104">SUMIF($A$13:$A$146,"Manutenzione",E13:E146)</f>
        <v>0</v>
      </c>
      <c r="F172" s="321">
        <f t="shared" si="104"/>
        <v>0</v>
      </c>
      <c r="G172" s="321">
        <f t="shared" si="104"/>
        <v>0</v>
      </c>
      <c r="H172" s="321">
        <f t="shared" si="104"/>
        <v>0</v>
      </c>
      <c r="I172" s="321">
        <f t="shared" si="104"/>
        <v>0</v>
      </c>
      <c r="J172" s="321">
        <f t="shared" si="104"/>
        <v>0</v>
      </c>
      <c r="K172" s="321">
        <f t="shared" si="104"/>
        <v>0</v>
      </c>
      <c r="L172" s="321">
        <f t="shared" si="104"/>
        <v>0</v>
      </c>
      <c r="M172" s="720"/>
      <c r="P172" s="5"/>
      <c r="Q172" s="5"/>
      <c r="R172" s="5"/>
      <c r="S172" s="5"/>
      <c r="T172" s="5"/>
      <c r="U172" s="5"/>
      <c r="V172" s="5"/>
      <c r="W172" s="5"/>
      <c r="X172" s="5"/>
      <c r="Y172" s="5"/>
      <c r="Z172" s="5"/>
      <c r="AA172" s="5"/>
      <c r="AB172" s="5"/>
    </row>
    <row r="173" spans="1:29" s="194" customFormat="1" ht="20.45" customHeight="1" outlineLevel="1" x14ac:dyDescent="0.25">
      <c r="A173" s="324" t="s">
        <v>284</v>
      </c>
      <c r="B173" s="783" t="s">
        <v>363</v>
      </c>
      <c r="C173" s="781"/>
      <c r="D173" s="782">
        <f t="shared" si="102"/>
        <v>0</v>
      </c>
      <c r="E173" s="321">
        <f t="shared" ref="E173:L173" si="105">SUMIF($A$13:$A$146,"Interessi",E13:E146)</f>
        <v>0</v>
      </c>
      <c r="F173" s="321">
        <f t="shared" si="105"/>
        <v>0</v>
      </c>
      <c r="G173" s="321">
        <f t="shared" si="105"/>
        <v>0</v>
      </c>
      <c r="H173" s="321">
        <f t="shared" si="105"/>
        <v>0</v>
      </c>
      <c r="I173" s="321">
        <f t="shared" si="105"/>
        <v>0</v>
      </c>
      <c r="J173" s="321">
        <f t="shared" si="105"/>
        <v>0</v>
      </c>
      <c r="K173" s="321">
        <f t="shared" si="105"/>
        <v>0</v>
      </c>
      <c r="L173" s="321">
        <f t="shared" si="105"/>
        <v>0</v>
      </c>
      <c r="M173" s="720"/>
      <c r="P173" s="5"/>
      <c r="Q173" s="5"/>
      <c r="R173" s="5"/>
      <c r="S173" s="5"/>
      <c r="T173" s="5"/>
      <c r="U173" s="5"/>
      <c r="V173" s="5"/>
      <c r="W173" s="5"/>
      <c r="X173" s="5"/>
      <c r="Y173" s="5"/>
      <c r="Z173" s="5"/>
      <c r="AA173" s="5"/>
      <c r="AB173" s="5"/>
    </row>
  </sheetData>
  <mergeCells count="1">
    <mergeCell ref="A5:O5"/>
  </mergeCells>
  <conditionalFormatting sqref="M6:M7">
    <cfRule type="cellIs" dxfId="56" priority="9" operator="lessThan">
      <formula>0</formula>
    </cfRule>
  </conditionalFormatting>
  <conditionalFormatting sqref="M13:M56">
    <cfRule type="containsText" dxfId="55" priority="7" operator="containsText" text="non è coerente">
      <formula>NOT(ISERROR(SEARCH("non è coerente",M13)))</formula>
    </cfRule>
  </conditionalFormatting>
  <conditionalFormatting sqref="M58:M71">
    <cfRule type="containsText" dxfId="54" priority="6" operator="containsText" text="non è coerente">
      <formula>NOT(ISERROR(SEARCH("non è coerente",M58)))</formula>
    </cfRule>
  </conditionalFormatting>
  <conditionalFormatting sqref="M73:M86">
    <cfRule type="containsText" dxfId="53" priority="5" operator="containsText" text="non è coerente">
      <formula>NOT(ISERROR(SEARCH("non è coerente",M73)))</formula>
    </cfRule>
  </conditionalFormatting>
  <conditionalFormatting sqref="M88:M101">
    <cfRule type="containsText" dxfId="52" priority="4" operator="containsText" text="non è coerente">
      <formula>NOT(ISERROR(SEARCH("non è coerente",M88)))</formula>
    </cfRule>
  </conditionalFormatting>
  <conditionalFormatting sqref="M103:M116">
    <cfRule type="containsText" dxfId="51" priority="3" operator="containsText" text="non è coerente">
      <formula>NOT(ISERROR(SEARCH("non è coerente",M103)))</formula>
    </cfRule>
  </conditionalFormatting>
  <conditionalFormatting sqref="M118:M131">
    <cfRule type="containsText" dxfId="50" priority="2" operator="containsText" text="non è coerente">
      <formula>NOT(ISERROR(SEARCH("non è coerente",M118)))</formula>
    </cfRule>
  </conditionalFormatting>
  <conditionalFormatting sqref="M133:M146">
    <cfRule type="containsText" dxfId="49" priority="1" operator="containsText" text="non è coerente">
      <formula>NOT(ISERROR(SEARCH("non è coerente",M133)))</formula>
    </cfRule>
  </conditionalFormatting>
  <pageMargins left="0.70866141732283472" right="0.70866141732283472" top="0.78740157480314965" bottom="0.78740157480314965" header="0.31496062992125984" footer="0.31496062992125984"/>
  <pageSetup paperSize="9" scale="50" fitToHeight="0" orientation="landscape" r:id="rId1"/>
  <rowBreaks count="4" manualBreakCount="4">
    <brk id="9" max="14" man="1"/>
    <brk id="57" max="14" man="1"/>
    <brk id="102" max="14" man="1"/>
    <brk id="147" max="14" man="1"/>
  </rowBreaks>
  <ignoredErrors>
    <ignoredError sqref="E11:L12 D14 F14:K14 D17:D19 G26 D87 D35 F35:L35 K15:L15 D24:D25 D147:K147 E13:L13 D16:L16 D20:L23 D27:L27 D117:K119 E15:I15 I26:L26 D36:L38 D42:L43 D57:K59 D72:K74 E87:K98 D89 D102:K104 D31:L34 E28:L29 D46:L53 E44:L44 D132:K134 E9:L10 E30:L30 E45:L45 D61:K68 E60:K60 D76:K83 E75:K75 D91:D98 D106:K113 E105:K105 D121:K121 E120:K120 D136:K143 E135:K135 D155:L155 E148:L154"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input'!$B$47:$B$53</xm:f>
          </x14:formula1>
          <xm:sqref>B17:B23 B107:B113 B122:B128 B92:B98 B77:B83 B62:B68 B47:B53 B32:B38 B137:B143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8"/>
  <sheetViews>
    <sheetView showGridLines="0" zoomScaleNormal="100" workbookViewId="0">
      <selection activeCell="A24" sqref="A24:XFD26"/>
    </sheetView>
  </sheetViews>
  <sheetFormatPr baseColWidth="10" defaultRowHeight="14.25" x14ac:dyDescent="0.2"/>
  <cols>
    <col min="1" max="1" width="26.875" customWidth="1"/>
  </cols>
  <sheetData>
    <row r="1" spans="1:107" s="90" customFormat="1" ht="20.25" x14ac:dyDescent="0.25">
      <c r="A1" s="220" t="s">
        <v>381</v>
      </c>
      <c r="B1" s="88"/>
      <c r="C1" s="88"/>
      <c r="D1" s="88"/>
      <c r="E1" s="88"/>
      <c r="F1" s="88"/>
      <c r="G1" s="88"/>
      <c r="H1" s="88"/>
      <c r="I1" s="88"/>
      <c r="J1" s="88"/>
      <c r="K1" s="88"/>
      <c r="L1" s="88"/>
      <c r="M1" s="88"/>
      <c r="N1" s="88"/>
      <c r="O1" s="88"/>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row>
    <row r="2" spans="1:107" s="226" customFormat="1" ht="15.75" x14ac:dyDescent="0.25">
      <c r="A2" s="222" t="s">
        <v>16</v>
      </c>
      <c r="B2" s="223" t="str">
        <f>IF('Panoramica SP'!B2=0,"",'Panoramica SP'!B2)</f>
        <v/>
      </c>
      <c r="C2" s="267"/>
      <c r="E2" s="222" t="s">
        <v>15</v>
      </c>
      <c r="F2" s="225"/>
      <c r="G2" s="267"/>
      <c r="H2" s="267"/>
      <c r="I2" s="267"/>
      <c r="J2" s="267"/>
      <c r="K2" s="267"/>
      <c r="N2" s="5"/>
      <c r="O2" s="5"/>
      <c r="P2" s="5"/>
      <c r="Q2" s="5"/>
      <c r="R2" s="5"/>
      <c r="S2" s="5"/>
      <c r="T2" s="5"/>
      <c r="U2" s="5"/>
      <c r="V2" s="5"/>
      <c r="W2" s="5"/>
      <c r="X2" s="5"/>
      <c r="Y2" s="5"/>
      <c r="Z2" s="5"/>
      <c r="AA2" s="5"/>
      <c r="AB2" s="5"/>
      <c r="AC2" s="5"/>
    </row>
    <row r="3" spans="1:107" ht="37.5" customHeight="1" x14ac:dyDescent="0.2">
      <c r="A3" s="803" t="s">
        <v>378</v>
      </c>
      <c r="B3" s="803"/>
      <c r="C3" s="803"/>
      <c r="D3" s="803"/>
      <c r="E3" s="803"/>
      <c r="F3" s="803"/>
      <c r="G3" s="803"/>
      <c r="H3" s="803"/>
      <c r="I3" s="803"/>
      <c r="J3" s="803"/>
      <c r="K3" s="803"/>
      <c r="L3" s="803"/>
    </row>
    <row r="5" spans="1:107" ht="15.75" x14ac:dyDescent="0.2">
      <c r="A5" s="269" t="s">
        <v>101</v>
      </c>
    </row>
    <row r="6" spans="1:107" s="570" customFormat="1" ht="18" x14ac:dyDescent="0.25">
      <c r="A6" s="567" t="s">
        <v>103</v>
      </c>
      <c r="B6" s="568"/>
      <c r="C6" s="568"/>
      <c r="D6" s="568"/>
      <c r="E6" s="568"/>
      <c r="F6" s="568"/>
      <c r="G6" s="568"/>
      <c r="H6" s="567"/>
      <c r="I6" s="568"/>
      <c r="J6" s="568"/>
      <c r="K6" s="568"/>
      <c r="L6" s="568"/>
      <c r="M6" s="568"/>
      <c r="N6" s="568"/>
      <c r="O6" s="568"/>
      <c r="P6" s="5"/>
      <c r="Q6" s="609"/>
      <c r="R6" s="609"/>
      <c r="S6" s="609"/>
      <c r="T6" s="572"/>
      <c r="U6" s="569"/>
      <c r="V6" s="569"/>
      <c r="W6" s="569"/>
      <c r="X6" s="569"/>
      <c r="Y6" s="569"/>
      <c r="Z6" s="569"/>
      <c r="AA6" s="569"/>
      <c r="AB6" s="569"/>
      <c r="AC6" s="569"/>
      <c r="AD6" s="573"/>
      <c r="AE6" s="573"/>
      <c r="AF6" s="573"/>
      <c r="AG6" s="573"/>
    </row>
    <row r="7" spans="1:107" s="5" customFormat="1" ht="47.25" x14ac:dyDescent="0.25">
      <c r="A7" s="104"/>
      <c r="B7" s="104"/>
      <c r="C7" s="116"/>
      <c r="D7" s="116"/>
      <c r="E7" s="273" t="str">
        <f>'Conto economico'!C8</f>
        <v>n = anno precedente</v>
      </c>
      <c r="F7" s="273" t="str">
        <f>'Conto economico'!D8</f>
        <v>n+1 
(1° anno PSR)</v>
      </c>
      <c r="G7" s="273" t="str">
        <f>'Conto economico'!E8</f>
        <v>n+2</v>
      </c>
      <c r="H7" s="273" t="str">
        <f>'Conto economico'!F8</f>
        <v>n+3</v>
      </c>
      <c r="I7" s="273" t="str">
        <f>'Conto economico'!G8</f>
        <v>n+4</v>
      </c>
      <c r="J7" s="273" t="str">
        <f>'Conto economico'!H8</f>
        <v>n+5</v>
      </c>
      <c r="K7" s="273" t="str">
        <f>'Conto economico'!I8</f>
        <v>n+6</v>
      </c>
      <c r="L7" s="274" t="str">
        <f>'Conto economico'!J8</f>
        <v>1° anno dopo l'attuazione</v>
      </c>
      <c r="M7" s="353"/>
    </row>
    <row r="8" spans="1:107" s="5" customFormat="1" ht="15.75" x14ac:dyDescent="0.25">
      <c r="A8" s="275" t="s">
        <v>279</v>
      </c>
      <c r="B8" s="276"/>
      <c r="C8" s="277"/>
      <c r="D8" s="277"/>
      <c r="E8" s="278">
        <f t="shared" ref="E8:L8" si="0">E10</f>
        <v>0</v>
      </c>
      <c r="F8" s="279">
        <f t="shared" si="0"/>
        <v>0</v>
      </c>
      <c r="G8" s="279">
        <f t="shared" si="0"/>
        <v>0</v>
      </c>
      <c r="H8" s="279">
        <f t="shared" si="0"/>
        <v>0</v>
      </c>
      <c r="I8" s="279">
        <f t="shared" si="0"/>
        <v>0</v>
      </c>
      <c r="J8" s="279">
        <f t="shared" si="0"/>
        <v>0</v>
      </c>
      <c r="K8" s="279">
        <f t="shared" si="0"/>
        <v>0</v>
      </c>
      <c r="L8" s="280">
        <f t="shared" si="0"/>
        <v>0</v>
      </c>
      <c r="M8" s="353"/>
    </row>
    <row r="9" spans="1:107" s="5" customFormat="1" ht="15.75" x14ac:dyDescent="0.25">
      <c r="A9" s="281" t="s">
        <v>280</v>
      </c>
      <c r="B9" s="282"/>
      <c r="C9" s="281"/>
      <c r="D9" s="281"/>
      <c r="E9" s="283">
        <f>E8</f>
        <v>0</v>
      </c>
      <c r="F9" s="284">
        <f t="shared" ref="F9:K9" si="1">F8+E9</f>
        <v>0</v>
      </c>
      <c r="G9" s="284">
        <f t="shared" si="1"/>
        <v>0</v>
      </c>
      <c r="H9" s="284">
        <f t="shared" si="1"/>
        <v>0</v>
      </c>
      <c r="I9" s="284">
        <f t="shared" si="1"/>
        <v>0</v>
      </c>
      <c r="J9" s="284">
        <f t="shared" si="1"/>
        <v>0</v>
      </c>
      <c r="K9" s="284">
        <f t="shared" si="1"/>
        <v>0</v>
      </c>
      <c r="L9" s="285">
        <f>L8+J9</f>
        <v>0</v>
      </c>
      <c r="M9" s="353"/>
    </row>
    <row r="10" spans="1:107" s="5" customFormat="1" ht="15.75" x14ac:dyDescent="0.25">
      <c r="A10" s="253" t="s">
        <v>281</v>
      </c>
      <c r="E10" s="286">
        <f>'Conto economico'!C43</f>
        <v>0</v>
      </c>
      <c r="F10" s="287">
        <f>'Conto economico'!D43</f>
        <v>0</v>
      </c>
      <c r="G10" s="287">
        <f>'Conto economico'!E43</f>
        <v>0</v>
      </c>
      <c r="H10" s="287">
        <f>'Conto economico'!F43</f>
        <v>0</v>
      </c>
      <c r="I10" s="287">
        <f>'Conto economico'!G43</f>
        <v>0</v>
      </c>
      <c r="J10" s="287">
        <f>'Conto economico'!H43</f>
        <v>0</v>
      </c>
      <c r="K10" s="287">
        <f>'Conto economico'!I43</f>
        <v>0</v>
      </c>
      <c r="L10" s="288">
        <f>'Conto economico'!J43</f>
        <v>0</v>
      </c>
      <c r="M10" s="353"/>
    </row>
    <row r="11" spans="1:107" s="5" customFormat="1" ht="15.75" x14ac:dyDescent="0.25">
      <c r="A11" s="253" t="s">
        <v>118</v>
      </c>
      <c r="E11" s="289"/>
      <c r="F11" s="290"/>
      <c r="G11" s="290"/>
      <c r="H11" s="290"/>
      <c r="I11" s="290"/>
      <c r="J11" s="290"/>
      <c r="K11" s="291"/>
      <c r="L11" s="292"/>
      <c r="M11" s="353"/>
    </row>
    <row r="12" spans="1:107" s="5" customFormat="1" ht="15.75" x14ac:dyDescent="0.25">
      <c r="A12" s="253" t="s">
        <v>117</v>
      </c>
      <c r="E12" s="289"/>
      <c r="F12" s="290"/>
      <c r="G12" s="290"/>
      <c r="H12" s="290"/>
      <c r="I12" s="290"/>
      <c r="J12" s="290"/>
      <c r="K12" s="291"/>
      <c r="L12" s="292"/>
      <c r="M12" s="353"/>
    </row>
    <row r="13" spans="1:107" s="5" customFormat="1" ht="8.1" customHeight="1" x14ac:dyDescent="0.25">
      <c r="A13" s="300"/>
      <c r="C13" s="277"/>
      <c r="D13" s="277"/>
      <c r="E13" s="297"/>
      <c r="F13" s="298"/>
      <c r="G13" s="298"/>
      <c r="H13" s="298"/>
      <c r="I13" s="298"/>
      <c r="J13" s="298"/>
      <c r="K13" s="301"/>
      <c r="L13" s="299"/>
      <c r="M13" s="353"/>
    </row>
    <row r="14" spans="1:107" s="5" customFormat="1" ht="15.75" x14ac:dyDescent="0.25">
      <c r="A14" s="275" t="s">
        <v>114</v>
      </c>
      <c r="B14" s="276"/>
      <c r="C14" s="277"/>
      <c r="D14" s="277"/>
      <c r="E14" s="293">
        <f t="shared" ref="E14:L14" si="2">E16-E17</f>
        <v>0</v>
      </c>
      <c r="F14" s="294">
        <f t="shared" si="2"/>
        <v>0</v>
      </c>
      <c r="G14" s="294">
        <f t="shared" si="2"/>
        <v>0</v>
      </c>
      <c r="H14" s="294">
        <f t="shared" si="2"/>
        <v>0</v>
      </c>
      <c r="I14" s="294">
        <f t="shared" si="2"/>
        <v>0</v>
      </c>
      <c r="J14" s="294">
        <f t="shared" si="2"/>
        <v>0</v>
      </c>
      <c r="K14" s="294">
        <f t="shared" si="2"/>
        <v>0</v>
      </c>
      <c r="L14" s="295">
        <f t="shared" si="2"/>
        <v>0</v>
      </c>
      <c r="M14" s="353"/>
    </row>
    <row r="15" spans="1:107" s="5" customFormat="1" ht="15.75" x14ac:dyDescent="0.25">
      <c r="A15" s="281" t="s">
        <v>282</v>
      </c>
      <c r="B15" s="282"/>
      <c r="C15" s="281"/>
      <c r="D15" s="281"/>
      <c r="E15" s="283">
        <f>E14</f>
        <v>0</v>
      </c>
      <c r="F15" s="284">
        <f t="shared" ref="F15:L15" si="3">F14+E15</f>
        <v>0</v>
      </c>
      <c r="G15" s="284">
        <f t="shared" si="3"/>
        <v>0</v>
      </c>
      <c r="H15" s="284">
        <f t="shared" si="3"/>
        <v>0</v>
      </c>
      <c r="I15" s="284">
        <f t="shared" si="3"/>
        <v>0</v>
      </c>
      <c r="J15" s="284">
        <f t="shared" si="3"/>
        <v>0</v>
      </c>
      <c r="K15" s="284">
        <f t="shared" si="3"/>
        <v>0</v>
      </c>
      <c r="L15" s="285">
        <f t="shared" si="3"/>
        <v>0</v>
      </c>
      <c r="M15" s="353"/>
    </row>
    <row r="16" spans="1:107" s="5" customFormat="1" ht="15.75" x14ac:dyDescent="0.25">
      <c r="A16" s="296" t="s">
        <v>246</v>
      </c>
      <c r="B16" s="277"/>
      <c r="C16" s="277"/>
      <c r="D16" s="277"/>
      <c r="E16" s="297">
        <f>'Fonti di finanziamento'!E151</f>
        <v>0</v>
      </c>
      <c r="F16" s="298">
        <f>'Fonti di finanziamento'!F151</f>
        <v>0</v>
      </c>
      <c r="G16" s="298">
        <f>'Fonti di finanziamento'!G151</f>
        <v>0</v>
      </c>
      <c r="H16" s="298">
        <f>'Fonti di finanziamento'!H151</f>
        <v>0</v>
      </c>
      <c r="I16" s="765">
        <f>'Fonti di finanziamento'!I151</f>
        <v>0</v>
      </c>
      <c r="J16" s="298">
        <f>'Fonti di finanziamento'!J151</f>
        <v>0</v>
      </c>
      <c r="K16" s="298">
        <f>'Fonti di finanziamento'!K151</f>
        <v>0</v>
      </c>
      <c r="L16" s="299">
        <f>'Fonti di finanziamento'!L151</f>
        <v>0</v>
      </c>
      <c r="M16" s="353"/>
    </row>
    <row r="17" spans="1:13" s="5" customFormat="1" ht="15.75" x14ac:dyDescent="0.25">
      <c r="A17" s="300" t="s">
        <v>116</v>
      </c>
      <c r="C17" s="277"/>
      <c r="D17" s="277"/>
      <c r="E17" s="297">
        <f>'Fonti di finanziamento'!E13+'Fonti di finanziamento'!E28+'Fonti di finanziamento'!E43+'Fonti di finanziamento'!E58+'Fonti di finanziamento'!E73+'Fonti di finanziamento'!E88+'Fonti di finanziamento'!E103+'Fonti di finanziamento'!E133</f>
        <v>0</v>
      </c>
      <c r="F17" s="297">
        <f>'Fonti di finanziamento'!F13+'Fonti di finanziamento'!F28+'Fonti di finanziamento'!F43+'Fonti di finanziamento'!F58+'Fonti di finanziamento'!F73+'Fonti di finanziamento'!F88+'Fonti di finanziamento'!F103+'Fonti di finanziamento'!F133</f>
        <v>0</v>
      </c>
      <c r="G17" s="297">
        <f>'Fonti di finanziamento'!G13+'Fonti di finanziamento'!G28+'Fonti di finanziamento'!G43+'Fonti di finanziamento'!G58+'Fonti di finanziamento'!G73+'Fonti di finanziamento'!G88+'Fonti di finanziamento'!G103+'Fonti di finanziamento'!G133</f>
        <v>0</v>
      </c>
      <c r="H17" s="297">
        <f>'Fonti di finanziamento'!H13+'Fonti di finanziamento'!H28+'Fonti di finanziamento'!H43+'Fonti di finanziamento'!H58+'Fonti di finanziamento'!H73+'Fonti di finanziamento'!H88+'Fonti di finanziamento'!H103+'Fonti di finanziamento'!H133</f>
        <v>0</v>
      </c>
      <c r="I17" s="297">
        <f>'Fonti di finanziamento'!I13+'Fonti di finanziamento'!I28+'Fonti di finanziamento'!I43+'Fonti di finanziamento'!I58+'Fonti di finanziamento'!I73+'Fonti di finanziamento'!I88+'Fonti di finanziamento'!I103+'Fonti di finanziamento'!I133</f>
        <v>0</v>
      </c>
      <c r="J17" s="297">
        <f>'Fonti di finanziamento'!J13+'Fonti di finanziamento'!J28+'Fonti di finanziamento'!J43+'Fonti di finanziamento'!J58+'Fonti di finanziamento'!J73+'Fonti di finanziamento'!J88+'Fonti di finanziamento'!J103+'Fonti di finanziamento'!J133</f>
        <v>0</v>
      </c>
      <c r="K17" s="297">
        <f>'Fonti di finanziamento'!K13+'Fonti di finanziamento'!K28+'Fonti di finanziamento'!K43+'Fonti di finanziamento'!K58+'Fonti di finanziamento'!K73+'Fonti di finanziamento'!K88+'Fonti di finanziamento'!K103+'Fonti di finanziamento'!K133</f>
        <v>0</v>
      </c>
      <c r="L17" s="299">
        <f>'Fonti di finanziamento'!L13+'Fonti di finanziamento'!L28+'Fonti di finanziamento'!L43+'Fonti di finanziamento'!L58+'Fonti di finanziamento'!L73+'Fonti di finanziamento'!L88+'Fonti di finanziamento'!L103+'Fonti di finanziamento'!L133</f>
        <v>0</v>
      </c>
      <c r="M17" s="353"/>
    </row>
    <row r="18" spans="1:13" s="5" customFormat="1" ht="8.1" customHeight="1" x14ac:dyDescent="0.25">
      <c r="A18" s="300"/>
      <c r="C18" s="277"/>
      <c r="D18" s="277"/>
      <c r="E18" s="297"/>
      <c r="F18" s="298"/>
      <c r="G18" s="298"/>
      <c r="H18" s="298"/>
      <c r="I18" s="298"/>
      <c r="J18" s="298"/>
      <c r="K18" s="301"/>
      <c r="L18" s="299"/>
      <c r="M18" s="353"/>
    </row>
    <row r="19" spans="1:13" s="5" customFormat="1" ht="15.75" x14ac:dyDescent="0.25">
      <c r="A19" s="302" t="s">
        <v>119</v>
      </c>
      <c r="B19" s="303"/>
      <c r="C19" s="303"/>
      <c r="D19" s="303"/>
      <c r="E19" s="304" t="str">
        <f t="shared" ref="E19:L19" si="4">IFERROR(E8/E14,"N/A")</f>
        <v>N/A</v>
      </c>
      <c r="F19" s="305" t="str">
        <f t="shared" si="4"/>
        <v>N/A</v>
      </c>
      <c r="G19" s="305" t="str">
        <f t="shared" si="4"/>
        <v>N/A</v>
      </c>
      <c r="H19" s="305" t="str">
        <f t="shared" si="4"/>
        <v>N/A</v>
      </c>
      <c r="I19" s="305" t="str">
        <f t="shared" si="4"/>
        <v>N/A</v>
      </c>
      <c r="J19" s="305" t="str">
        <f t="shared" si="4"/>
        <v>N/A</v>
      </c>
      <c r="K19" s="305" t="str">
        <f t="shared" si="4"/>
        <v>N/A</v>
      </c>
      <c r="L19" s="306" t="str">
        <f t="shared" si="4"/>
        <v>N/A</v>
      </c>
      <c r="M19" s="353"/>
    </row>
    <row r="20" spans="1:13" s="5" customFormat="1" ht="15.75" x14ac:dyDescent="0.25">
      <c r="A20" s="275" t="s">
        <v>115</v>
      </c>
      <c r="B20" s="277"/>
      <c r="C20" s="277"/>
      <c r="D20" s="277"/>
      <c r="E20" s="307">
        <f t="shared" ref="E20:K20" si="5">E22-E23</f>
        <v>0</v>
      </c>
      <c r="F20" s="308">
        <f>F22-F23</f>
        <v>0</v>
      </c>
      <c r="G20" s="308">
        <f t="shared" si="5"/>
        <v>0</v>
      </c>
      <c r="H20" s="308">
        <f t="shared" si="5"/>
        <v>0</v>
      </c>
      <c r="I20" s="308">
        <f t="shared" si="5"/>
        <v>0</v>
      </c>
      <c r="J20" s="308">
        <f t="shared" si="5"/>
        <v>0</v>
      </c>
      <c r="K20" s="308">
        <f t="shared" si="5"/>
        <v>0</v>
      </c>
      <c r="L20" s="309">
        <f>L22-L23</f>
        <v>0</v>
      </c>
      <c r="M20" s="353"/>
    </row>
    <row r="21" spans="1:13" s="5" customFormat="1" ht="15.75" x14ac:dyDescent="0.25">
      <c r="A21" s="281" t="s">
        <v>247</v>
      </c>
      <c r="B21" s="282"/>
      <c r="C21" s="281"/>
      <c r="D21" s="281"/>
      <c r="E21" s="283">
        <f>E20</f>
        <v>0</v>
      </c>
      <c r="F21" s="284">
        <f t="shared" ref="F21:L21" si="6">F20+E21</f>
        <v>0</v>
      </c>
      <c r="G21" s="284">
        <f t="shared" si="6"/>
        <v>0</v>
      </c>
      <c r="H21" s="284">
        <f t="shared" si="6"/>
        <v>0</v>
      </c>
      <c r="I21" s="284">
        <f t="shared" si="6"/>
        <v>0</v>
      </c>
      <c r="J21" s="284">
        <f t="shared" si="6"/>
        <v>0</v>
      </c>
      <c r="K21" s="284">
        <f t="shared" si="6"/>
        <v>0</v>
      </c>
      <c r="L21" s="285">
        <f t="shared" si="6"/>
        <v>0</v>
      </c>
      <c r="M21" s="353"/>
    </row>
    <row r="22" spans="1:13" s="5" customFormat="1" ht="15.75" x14ac:dyDescent="0.25">
      <c r="A22" s="296" t="s">
        <v>358</v>
      </c>
      <c r="B22" s="277"/>
      <c r="C22" s="277"/>
      <c r="D22" s="277"/>
      <c r="E22" s="297">
        <f>'Fonti di finanziamento'!E167</f>
        <v>0</v>
      </c>
      <c r="F22" s="297">
        <f>'Fonti di finanziamento'!F167</f>
        <v>0</v>
      </c>
      <c r="G22" s="297">
        <f>'Fonti di finanziamento'!G167</f>
        <v>0</v>
      </c>
      <c r="H22" s="297">
        <f>'Fonti di finanziamento'!H167</f>
        <v>0</v>
      </c>
      <c r="I22" s="297">
        <f>'Fonti di finanziamento'!I167</f>
        <v>0</v>
      </c>
      <c r="J22" s="297">
        <f>'Fonti di finanziamento'!J167</f>
        <v>0</v>
      </c>
      <c r="K22" s="297">
        <f>'Fonti di finanziamento'!K167</f>
        <v>0</v>
      </c>
      <c r="L22" s="299">
        <f>'Fonti di finanziamento'!L167</f>
        <v>0</v>
      </c>
      <c r="M22" s="353"/>
    </row>
    <row r="23" spans="1:13" s="5" customFormat="1" ht="15.75" x14ac:dyDescent="0.25">
      <c r="A23" s="300" t="s">
        <v>359</v>
      </c>
      <c r="B23" s="277"/>
      <c r="C23" s="277"/>
      <c r="D23" s="277"/>
      <c r="E23" s="297">
        <f>'Fonti di finanziamento'!E173</f>
        <v>0</v>
      </c>
      <c r="F23" s="297">
        <f>'Fonti di finanziamento'!F173</f>
        <v>0</v>
      </c>
      <c r="G23" s="297">
        <f>'Fonti di finanziamento'!G173</f>
        <v>0</v>
      </c>
      <c r="H23" s="297">
        <f>'Fonti di finanziamento'!H173</f>
        <v>0</v>
      </c>
      <c r="I23" s="297">
        <f>'Fonti di finanziamento'!I173</f>
        <v>0</v>
      </c>
      <c r="J23" s="297">
        <f>'Fonti di finanziamento'!J173</f>
        <v>0</v>
      </c>
      <c r="K23" s="297">
        <f>'Fonti di finanziamento'!K173</f>
        <v>0</v>
      </c>
      <c r="L23" s="299">
        <f>'Fonti di finanziamento'!L173</f>
        <v>0</v>
      </c>
      <c r="M23" s="353"/>
    </row>
    <row r="24" spans="1:13" s="5" customFormat="1" ht="8.1" customHeight="1" x14ac:dyDescent="0.25">
      <c r="A24" s="300"/>
      <c r="C24" s="277"/>
      <c r="D24" s="277"/>
      <c r="E24" s="297"/>
      <c r="F24" s="298"/>
      <c r="G24" s="298"/>
      <c r="H24" s="298"/>
      <c r="I24" s="298"/>
      <c r="J24" s="298"/>
      <c r="K24" s="301"/>
      <c r="L24" s="299"/>
      <c r="M24" s="353"/>
    </row>
    <row r="25" spans="1:13" s="5" customFormat="1" ht="15.75" hidden="1" x14ac:dyDescent="0.25">
      <c r="A25" s="764" t="s">
        <v>371</v>
      </c>
      <c r="B25" s="728"/>
      <c r="C25" s="265"/>
      <c r="D25" s="265"/>
      <c r="E25" s="729">
        <f>E23-E10</f>
        <v>0</v>
      </c>
      <c r="F25" s="729">
        <f t="shared" ref="F25:L25" si="7">F23-F10</f>
        <v>0</v>
      </c>
      <c r="G25" s="729">
        <f t="shared" si="7"/>
        <v>0</v>
      </c>
      <c r="H25" s="729">
        <f t="shared" si="7"/>
        <v>0</v>
      </c>
      <c r="I25" s="729">
        <f t="shared" si="7"/>
        <v>0</v>
      </c>
      <c r="J25" s="729">
        <f t="shared" si="7"/>
        <v>0</v>
      </c>
      <c r="K25" s="729">
        <f t="shared" si="7"/>
        <v>0</v>
      </c>
      <c r="L25" s="729">
        <f t="shared" si="7"/>
        <v>0</v>
      </c>
      <c r="M25" s="353"/>
    </row>
    <row r="26" spans="1:13" s="5" customFormat="1" ht="15.75" x14ac:dyDescent="0.25">
      <c r="A26" s="726" t="s">
        <v>113</v>
      </c>
      <c r="B26" s="727"/>
      <c r="C26" s="275"/>
      <c r="D26" s="275"/>
      <c r="E26" s="307">
        <f t="shared" ref="E26:L26" si="8">E20+E14+E8</f>
        <v>0</v>
      </c>
      <c r="F26" s="308">
        <f t="shared" si="8"/>
        <v>0</v>
      </c>
      <c r="G26" s="308">
        <f t="shared" si="8"/>
        <v>0</v>
      </c>
      <c r="H26" s="308">
        <f t="shared" si="8"/>
        <v>0</v>
      </c>
      <c r="I26" s="308">
        <f t="shared" si="8"/>
        <v>0</v>
      </c>
      <c r="J26" s="308">
        <f t="shared" si="8"/>
        <v>0</v>
      </c>
      <c r="K26" s="308">
        <f t="shared" si="8"/>
        <v>0</v>
      </c>
      <c r="L26" s="309">
        <f t="shared" si="8"/>
        <v>0</v>
      </c>
      <c r="M26" s="353"/>
    </row>
    <row r="27" spans="1:13" s="5" customFormat="1" ht="16.5" thickBot="1" x14ac:dyDescent="0.3">
      <c r="A27" s="310" t="s">
        <v>248</v>
      </c>
      <c r="B27" s="311"/>
      <c r="C27" s="312"/>
      <c r="D27" s="312"/>
      <c r="E27" s="313">
        <f>E26</f>
        <v>0</v>
      </c>
      <c r="F27" s="314">
        <f>F26+E27</f>
        <v>0</v>
      </c>
      <c r="G27" s="314">
        <f t="shared" ref="G27:L27" si="9">F27+G26</f>
        <v>0</v>
      </c>
      <c r="H27" s="314">
        <f t="shared" si="9"/>
        <v>0</v>
      </c>
      <c r="I27" s="314">
        <f t="shared" si="9"/>
        <v>0</v>
      </c>
      <c r="J27" s="314">
        <f t="shared" si="9"/>
        <v>0</v>
      </c>
      <c r="K27" s="314">
        <f t="shared" si="9"/>
        <v>0</v>
      </c>
      <c r="L27" s="315">
        <f t="shared" si="9"/>
        <v>0</v>
      </c>
      <c r="M27" s="353"/>
    </row>
    <row r="28" spans="1:13" ht="15" thickTop="1" x14ac:dyDescent="0.2"/>
  </sheetData>
  <mergeCells count="1">
    <mergeCell ref="A3:L3"/>
  </mergeCells>
  <conditionalFormatting sqref="E27:M27 M7:M26 E25:L26">
    <cfRule type="cellIs" dxfId="48" priority="1" operator="lessThan">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2"/>
  <sheetViews>
    <sheetView zoomScale="70" zoomScaleNormal="70" zoomScaleSheetLayoutView="90" workbookViewId="0">
      <selection activeCell="D6" sqref="D6"/>
    </sheetView>
  </sheetViews>
  <sheetFormatPr baseColWidth="10" defaultRowHeight="14.25" outlineLevelRow="1" x14ac:dyDescent="0.2"/>
  <cols>
    <col min="1" max="1" width="19" customWidth="1"/>
    <col min="2" max="2" width="17.25" customWidth="1"/>
    <col min="3" max="3" width="15.375" customWidth="1"/>
    <col min="4" max="4" width="19.625" customWidth="1"/>
  </cols>
  <sheetData>
    <row r="1" spans="1:44" s="90" customFormat="1" ht="26.45" customHeight="1" x14ac:dyDescent="0.2">
      <c r="A1" s="220" t="s">
        <v>340</v>
      </c>
      <c r="B1" s="88"/>
      <c r="C1" s="88"/>
      <c r="D1" s="88"/>
      <c r="E1" s="88"/>
      <c r="F1" s="88"/>
      <c r="G1" s="88"/>
      <c r="H1" s="88"/>
      <c r="I1" s="88"/>
      <c r="J1" s="88"/>
      <c r="K1" s="88"/>
      <c r="L1" s="88"/>
      <c r="M1" s="88"/>
      <c r="N1" s="88"/>
      <c r="O1" s="88"/>
      <c r="P1" s="89"/>
      <c r="Q1" s="88"/>
      <c r="R1" s="88"/>
      <c r="S1" s="88"/>
      <c r="T1" s="88"/>
      <c r="U1" s="203"/>
      <c r="V1" s="203"/>
      <c r="W1" s="203"/>
      <c r="X1" s="7"/>
      <c r="Y1" s="7"/>
      <c r="Z1" s="7"/>
      <c r="AA1" s="7"/>
      <c r="AB1" s="7"/>
      <c r="AC1" s="7"/>
      <c r="AD1" s="7"/>
      <c r="AE1" s="7"/>
      <c r="AF1" s="7"/>
      <c r="AG1" s="7"/>
      <c r="AH1" s="7"/>
      <c r="AI1" s="7"/>
      <c r="AJ1" s="7"/>
      <c r="AK1" s="7"/>
      <c r="AL1" s="7"/>
      <c r="AM1" s="7"/>
      <c r="AN1" s="7"/>
      <c r="AO1" s="7"/>
      <c r="AP1" s="7"/>
      <c r="AQ1" s="7"/>
      <c r="AR1" s="7"/>
    </row>
    <row r="2" spans="1:44" s="94" customFormat="1" ht="28.5" customHeight="1" x14ac:dyDescent="0.2">
      <c r="A2" s="567" t="s">
        <v>20</v>
      </c>
      <c r="B2" s="691"/>
      <c r="C2" s="691"/>
      <c r="D2" s="691"/>
      <c r="E2" s="691"/>
      <c r="F2" s="691"/>
      <c r="G2" s="691"/>
      <c r="H2" s="691"/>
      <c r="I2" s="691"/>
      <c r="J2" s="692"/>
      <c r="K2" s="691"/>
      <c r="L2" s="691"/>
      <c r="M2" s="691"/>
      <c r="N2" s="691"/>
      <c r="O2" s="691"/>
      <c r="P2" s="691"/>
      <c r="Q2" s="691"/>
      <c r="R2" s="691"/>
      <c r="S2" s="691"/>
      <c r="T2" s="691"/>
      <c r="U2" s="203"/>
      <c r="V2" s="203"/>
      <c r="W2" s="203"/>
      <c r="X2" s="228"/>
      <c r="Y2" s="228"/>
      <c r="Z2" s="228"/>
      <c r="AA2" s="7"/>
      <c r="AB2" s="7"/>
      <c r="AC2" s="7"/>
      <c r="AD2" s="7"/>
      <c r="AE2" s="7"/>
      <c r="AF2" s="7"/>
      <c r="AG2" s="7"/>
      <c r="AH2" s="7"/>
      <c r="AI2" s="7"/>
      <c r="AJ2" s="693"/>
      <c r="AK2" s="693"/>
      <c r="AL2" s="693"/>
      <c r="AM2" s="693"/>
    </row>
    <row r="3" spans="1:44" s="11" customFormat="1" ht="80.45" customHeight="1" outlineLevel="1" x14ac:dyDescent="0.25">
      <c r="A3" s="804" t="s">
        <v>375</v>
      </c>
      <c r="B3" s="805"/>
      <c r="C3" s="805"/>
      <c r="D3" s="805"/>
      <c r="E3" s="805"/>
      <c r="F3" s="805"/>
      <c r="G3" s="805"/>
      <c r="H3" s="805"/>
      <c r="I3" s="805"/>
      <c r="J3" s="805"/>
      <c r="K3" s="805"/>
      <c r="L3" s="805"/>
      <c r="M3" s="805"/>
      <c r="N3" s="805"/>
      <c r="O3" s="805"/>
      <c r="P3" s="805"/>
      <c r="Q3" s="805"/>
      <c r="R3" s="805"/>
      <c r="S3" s="805"/>
      <c r="T3" s="805"/>
      <c r="U3" s="203"/>
      <c r="V3" s="203"/>
      <c r="W3" s="203"/>
      <c r="X3" s="228"/>
      <c r="Y3" s="228"/>
      <c r="Z3" s="228"/>
      <c r="AA3" s="7"/>
      <c r="AB3" s="7"/>
      <c r="AC3" s="7"/>
      <c r="AD3" s="7"/>
      <c r="AE3" s="7"/>
      <c r="AF3" s="7"/>
      <c r="AG3" s="7"/>
      <c r="AH3" s="7"/>
      <c r="AI3" s="7"/>
    </row>
    <row r="4" spans="1:44" s="203" customFormat="1" ht="31.5" outlineLevel="1" x14ac:dyDescent="0.2">
      <c r="A4" s="197" t="s">
        <v>349</v>
      </c>
      <c r="B4" s="197" t="s">
        <v>18</v>
      </c>
      <c r="C4" s="197" t="s">
        <v>19</v>
      </c>
      <c r="D4" s="197" t="s">
        <v>55</v>
      </c>
      <c r="E4" s="197" t="s">
        <v>56</v>
      </c>
      <c r="F4" s="198" t="s">
        <v>351</v>
      </c>
      <c r="G4" s="696" t="s">
        <v>352</v>
      </c>
      <c r="H4" s="201" t="s">
        <v>57</v>
      </c>
      <c r="I4" s="200" t="s">
        <v>58</v>
      </c>
      <c r="J4" s="201" t="s">
        <v>59</v>
      </c>
      <c r="K4" s="200" t="s">
        <v>60</v>
      </c>
      <c r="L4" s="201" t="s">
        <v>61</v>
      </c>
      <c r="M4" s="202" t="s">
        <v>62</v>
      </c>
      <c r="N4" s="199" t="s">
        <v>63</v>
      </c>
      <c r="O4" s="200" t="s">
        <v>64</v>
      </c>
      <c r="P4" s="201" t="s">
        <v>65</v>
      </c>
      <c r="Q4" s="200" t="s">
        <v>66</v>
      </c>
      <c r="T4" s="204"/>
    </row>
    <row r="5" spans="1:44" s="212" customFormat="1" ht="30.95" customHeight="1" outlineLevel="1" x14ac:dyDescent="0.25">
      <c r="A5" s="206" t="str">
        <f>IF('Panoramica SP'!$B$2="","",'Panoramica SP'!$B$2)</f>
        <v/>
      </c>
      <c r="B5" s="694" t="str">
        <f>IF('Panoramica SP'!$B$4="selezionare","",'Panoramica SP'!$B$4)</f>
        <v/>
      </c>
      <c r="C5" s="694" t="str">
        <f>IF('Panoramica SP'!$B$5="selezionare","",'Panoramica SP'!$B$5)</f>
        <v>Latte</v>
      </c>
      <c r="D5" s="206" t="s">
        <v>386</v>
      </c>
      <c r="E5" s="754" t="s">
        <v>7</v>
      </c>
      <c r="F5" s="753" t="str">
        <f>IF('Panoramica SP'!$D$2="","",'Panoramica SP'!$D$2)</f>
        <v/>
      </c>
      <c r="G5" s="752">
        <f>'Conto economico'!C9</f>
        <v>0</v>
      </c>
      <c r="H5" s="208">
        <f>'Conto economico'!E9</f>
        <v>0</v>
      </c>
      <c r="I5" s="209"/>
      <c r="J5" s="208">
        <f>'Conto economico'!G9</f>
        <v>0</v>
      </c>
      <c r="K5" s="209"/>
      <c r="L5" s="208">
        <f>'Conto economico'!I9</f>
        <v>0</v>
      </c>
      <c r="M5" s="210"/>
      <c r="N5" s="211"/>
      <c r="O5" s="209"/>
      <c r="P5" s="208"/>
      <c r="Q5" s="209"/>
      <c r="R5" s="695" t="s">
        <v>350</v>
      </c>
      <c r="T5" s="213"/>
    </row>
    <row r="6" spans="1:44" s="212" customFormat="1" ht="30.95" customHeight="1" outlineLevel="1" x14ac:dyDescent="0.25">
      <c r="A6" s="748"/>
      <c r="B6" s="694" t="str">
        <f>IF('Panoramica SP'!$B$4="selezionare","",'Panoramica SP'!$B$4)</f>
        <v/>
      </c>
      <c r="C6" s="694" t="str">
        <f>IF('Panoramica SP'!$B$5="selezionare","",'Panoramica SP'!$B$5)</f>
        <v>Latte</v>
      </c>
      <c r="D6" s="206" t="str">
        <f>IF(AND('Panoramica SP'!$B$8="Ramo aziendale",OR( 'Panoramica SP'!$B$4="Commercializzazione", 'Panoramica SP'!$B$4="Trasformazione")),'Dropdown input'!M50,IF(AND( 'Panoramica SP'!$B$8="Ramo aziendale",OR( 'Panoramica SP'!$B$4="Ampliamento_e_ulteriore_sviluppo_ramo_aziendale_nell’azienda_agricola", 'Panoramica SP'!$B$4="Produzione", 'Panoramica SP'!$B$4="Altro")),'Dropdown input'!J50,IF(AND( 'Panoramica SP'!$B$8="Azienda",OR( 'Panoramica SP'!$B$4="Commercializzazione", 'Panoramica SP'!$B$4="Trasformazione")),'Dropdown input'!G50,'Dropdown input'!D50)))</f>
        <v>Percentuale d'impiego</v>
      </c>
      <c r="E6" s="689" t="str">
        <f>IF(AND( 'Panoramica SP'!$B$8="Ramo aziendale",OR( 'Panoramica SP'!$B$4="Commercializzazione", 'Panoramica SP'!$B$4="Trasformazione")),'Dropdown input'!N50,IF(AND( 'Panoramica SP'!$B$8="Ramo aziendale",OR( 'Panoramica SP'!$B$4="Ampliamento_e_ulteriore_sviluppo_ramo_aziendale_nell’azienda_agricola", 'Panoramica SP'!$B$4="Produzione", 'Panoramica SP'!$B$4="Altro")),'Dropdown input'!K50,IF(AND( 'Panoramica SP'!$B$8="Azienda",OR( 'Panoramica SP'!$B$4="Commercializzazione", 'Panoramica SP'!$B$4="Trasformazione")),'Dropdown input'!H50,'Dropdown input'!E50)))</f>
        <v>% in decimali</v>
      </c>
      <c r="F6" s="753" t="str">
        <f>IF('Panoramica SP'!$D$2="","",'Panoramica SP'!$D$2)</f>
        <v/>
      </c>
      <c r="G6" s="215"/>
      <c r="H6" s="216"/>
      <c r="I6" s="217"/>
      <c r="J6" s="216"/>
      <c r="K6" s="217"/>
      <c r="L6" s="216"/>
      <c r="M6" s="215"/>
      <c r="N6" s="218"/>
      <c r="O6" s="217"/>
      <c r="P6" s="216"/>
      <c r="Q6" s="217"/>
      <c r="R6" s="695" t="s">
        <v>350</v>
      </c>
      <c r="T6" s="213"/>
    </row>
    <row r="7" spans="1:44" s="212" customFormat="1" ht="30.95" customHeight="1" outlineLevel="1" x14ac:dyDescent="0.25">
      <c r="A7" s="748"/>
      <c r="B7" s="694" t="str">
        <f>IF('Panoramica SP'!$B$4="selezionare","",'Panoramica SP'!$B$4)</f>
        <v/>
      </c>
      <c r="C7" s="694" t="str">
        <f>IF('Panoramica SP'!$B$5="selezionare","",'Panoramica SP'!$B$5)</f>
        <v>Latte</v>
      </c>
      <c r="D7" s="206" t="str">
        <f>IF(AND( 'Panoramica SP'!$B$8="Ramo aziendale",OR( 'Panoramica SP'!$B$4="Commercializzazione", 'Panoramica SP'!$B$4="Trasformazione")),'Dropdown input'!M51,IF(AND( 'Panoramica SP'!$B$8="Ramo aziendale",OR( 'Panoramica SP'!$B$4="Ampliamento_e_ulteriore_sviluppo_ramo_aziendale_nell’azienda_agricola", 'Panoramica SP'!$B$4="Produzione", 'Panoramica SP'!$B$4="Altro")),'Dropdown input'!J51,IF(AND( 'Panoramica SP'!$B$8="Azienda",OR( 'Panoramica SP'!$B$4="Commercializzazione", 'Panoramica SP'!$B$4="Trasformazione")),'Dropdown input'!G51,'Dropdown input'!D51)))</f>
        <v>EBITDA</v>
      </c>
      <c r="E7" s="689" t="str">
        <f>IF(AND( 'Panoramica SP'!$B$8="Ramo aziendale",OR( 'Panoramica SP'!$B$4="Commercializzazione", 'Panoramica SP'!$B$4="Trasformazione")),'Dropdown input'!N51,IF(AND( 'Panoramica SP'!$B$8="Ramo aziendale",OR( 'Panoramica SP'!$B$4="Ampliamento_e_ulteriore_sviluppo_ramo_aziendale_nell’azienda_agricola", 'Panoramica SP'!$B$4="Produzione", 'Panoramica SP'!$B$4="Altro")),'Dropdown input'!K51,IF(AND( 'Panoramica SP'!$B$8="Azienda",OR( 'Panoramica SP'!$B$4="Commercializzazione", 'Panoramica SP'!$B$4="Trasformazione")),'Dropdown input'!H51,'Dropdown input'!E51)))</f>
        <v>CHF</v>
      </c>
      <c r="F7" s="753" t="str">
        <f>IF('Panoramica SP'!$D$2="","",'Panoramica SP'!$D$2)</f>
        <v/>
      </c>
      <c r="G7" s="215">
        <f>IF( 'Panoramica SP'!$B$8="Azienda",'Conto economico'!C43,'Conto economico'!L10)</f>
        <v>0</v>
      </c>
      <c r="H7" s="216" t="str">
        <f>IF( 'Panoramica SP'!$B$8="Azienda",'Conto economico'!E43,"")</f>
        <v/>
      </c>
      <c r="I7" s="217"/>
      <c r="J7" s="216" t="str">
        <f>IF( 'Panoramica SP'!$B$8="Azienda",'Conto economico'!G43,"")</f>
        <v/>
      </c>
      <c r="K7" s="217"/>
      <c r="L7" s="216">
        <f>IF( 'Panoramica SP'!$B$8="Azienda",'Conto economico'!I43,'Conto economico'!M10)</f>
        <v>0</v>
      </c>
      <c r="M7" s="215"/>
      <c r="N7" s="218"/>
      <c r="O7" s="217"/>
      <c r="P7" s="216"/>
      <c r="Q7" s="217"/>
      <c r="R7" s="695" t="str">
        <f>IF(D7="EBITDA","compilare per tutti gli anni","compilare solo per ‘n’ e ‘n+6’")</f>
        <v>compilare per tutti gli anni</v>
      </c>
      <c r="T7" s="213"/>
    </row>
    <row r="8" spans="1:44" s="212" customFormat="1" ht="30.95" customHeight="1" outlineLevel="1" x14ac:dyDescent="0.25">
      <c r="A8" s="748"/>
      <c r="B8" s="694" t="str">
        <f>IF('Panoramica SP'!$B$4="selezionare","",'Panoramica SP'!$B$4)</f>
        <v/>
      </c>
      <c r="C8" s="694" t="str">
        <f>IF('Panoramica SP'!$B$5="selezionare","",'Panoramica SP'!$B$5)</f>
        <v>Latte</v>
      </c>
      <c r="D8" s="206" t="str">
        <f>IF(AND( 'Panoramica SP'!$B$8="Ramo aziendale",OR( 'Panoramica SP'!$B$4="Commercializzazione", 'Panoramica SP'!$B$4="Trasformazione")),'Dropdown input'!M52,IF(AND( 'Panoramica SP'!$B$8="Ramo aziendale",OR( 'Panoramica SP'!$B$4="Ampliamento_e_ulteriore_sviluppo_ramo_aziendale_nell’azienda_agricola", 'Panoramica SP'!$B$4="Produzione", 'Panoramica SP'!$B$4="Altro")),'Dropdown input'!J52,IF(AND( 'Panoramica SP'!$B$8="Azienda",OR( 'Panoramica SP'!$B$4="Commercializzazione", 'Panoramica SP'!$B$4="Trasformazione")),'Dropdown input'!G52,'Dropdown input'!D52)))</f>
        <v>Fattore d'indebitamento</v>
      </c>
      <c r="E8" s="689" t="str">
        <f>IF(AND( 'Panoramica SP'!$B$8="Ramo aziendale",OR( 'Panoramica SP'!$B$4="Commercializzazione", 'Panoramica SP'!$B$4="Trasformazione")),'Dropdown input'!N52,IF(AND( 'Panoramica SP'!$B$8="Ramo aziendale",OR( 'Panoramica SP'!$B$4="Ampliamento_e_ulteriore_sviluppo_ramo_aziendale_nell’azienda_agricola", 'Panoramica SP'!$B$4="Produzione", 'Panoramica SP'!$B$4="Altro")),'Dropdown input'!K52,IF(AND( 'Panoramica SP'!$B$8="Azienda",OR( 'Panoramica SP'!$B$4="Commercializzazione", 'Panoramica SP'!$B$4="Trasformazione")),'Dropdown input'!H52,'Dropdown input'!E52)))</f>
        <v>anni</v>
      </c>
      <c r="F8" s="753" t="str">
        <f>IF('Panoramica SP'!$D$2="","",'Panoramica SP'!$D$2)</f>
        <v/>
      </c>
      <c r="G8" s="215">
        <f>IF( 'Panoramica SP'!$B$8="Azienda",'Fonti di finanziamento'!E168,'Conto economico'!N10)</f>
        <v>0</v>
      </c>
      <c r="H8" s="216" t="str">
        <f>IF( 'Panoramica SP'!$B$8="Azienda",'Fonti di finanziamento'!G168,"")</f>
        <v/>
      </c>
      <c r="I8" s="217"/>
      <c r="J8" s="216" t="str">
        <f>IF( 'Panoramica SP'!$B$8="Azienda",'Fonti di finanziamento'!I168,"")</f>
        <v/>
      </c>
      <c r="K8" s="217"/>
      <c r="L8" s="216">
        <f>IF( 'Panoramica SP'!$B$8="Azienda",'Fonti di finanziamento'!K168,'Conto economico'!O10)</f>
        <v>0</v>
      </c>
      <c r="M8" s="215"/>
      <c r="N8" s="218"/>
      <c r="O8" s="217"/>
      <c r="P8" s="216"/>
      <c r="Q8" s="217"/>
      <c r="R8" s="695" t="str">
        <f>IF(D8="Fattore d'indebitamento","compilare per tutti gli anni","compilare solo per ‘n’ e ‘n+6’")</f>
        <v>compilare per tutti gli anni</v>
      </c>
      <c r="T8" s="213"/>
    </row>
    <row r="9" spans="1:44" s="212" customFormat="1" ht="30.95" customHeight="1" outlineLevel="1" x14ac:dyDescent="0.25">
      <c r="A9" s="748"/>
      <c r="B9" s="694" t="str">
        <f>IF('Panoramica SP'!$B$4="selezionare","",'Panoramica SP'!$B$4)</f>
        <v/>
      </c>
      <c r="C9" s="694" t="str">
        <f>IF('Panoramica SP'!$B$5="selezionare","",'Panoramica SP'!$B$5)</f>
        <v>Latte</v>
      </c>
      <c r="D9" s="206" t="str">
        <f>IF(AND( 'Panoramica SP'!$B$8="Ramo aziendale",OR( 'Panoramica SP'!$B$4="Commercializzazione", 'Panoramica SP'!$B$4="Trasformazione")),'Dropdown input'!M53,IF(AND( 'Panoramica SP'!$B$8="Ramo aziendale",OR( 'Panoramica SP'!$B$4="Ampliamento_e_ulteriore_sviluppo_ramo_aziendale_nell’azienda_agricola", 'Panoramica SP'!$B$4="Produzione", 'Panoramica SP'!$B$4="Altro")),'Dropdown input'!J53,IF(AND( 'Panoramica SP'!$B$8="Azienda",OR( 'Panoramica SP'!$B$4="Commercializzazione", 'Panoramica SP'!$B$4="Trasformazione")),'Dropdown input'!G53,'Dropdown input'!D53)))</f>
        <v/>
      </c>
      <c r="E9" s="689" t="str">
        <f>IF(AND( 'Panoramica SP'!$B$8="Ramo aziendale",OR( 'Panoramica SP'!$B$4="Commercializzazione", 'Panoramica SP'!$B$4="Trasformazione")),'Dropdown input'!N53,IF(AND( 'Panoramica SP'!$B$8="Ramo aziendale",OR( 'Panoramica SP'!$B$4="Ampliamento_e_ulteriore_sviluppo_ramo_aziendale_nell’azienda_agricola", 'Panoramica SP'!$B$4="Produzione", 'Panoramica SP'!$B$4="Altro")),'Dropdown input'!K53,IF(AND( 'Panoramica SP'!$B$8="Azienda",OR( 'Panoramica SP'!$B$4="Commercializzazione", 'Panoramica SP'!$B$4="Trasformazione")),'Dropdown input'!H53,'Dropdown input'!E53)))</f>
        <v/>
      </c>
      <c r="F9" s="753" t="str">
        <f>IF('Panoramica SP'!$D$2="","",'Panoramica SP'!$D$2)</f>
        <v/>
      </c>
      <c r="G9" s="215">
        <f>IF( 'Panoramica SP'!$B$8="Azienda",'Conto economico'!L10,IF(OR( 'Panoramica SP'!$B$4="Commercializzazione", 'Panoramica SP'!$B$4="Trasformazione"),'Conto economico'!L20,'Conto economico'!L11))</f>
        <v>0</v>
      </c>
      <c r="H9" s="216"/>
      <c r="I9" s="217"/>
      <c r="J9" s="216"/>
      <c r="K9" s="217"/>
      <c r="L9" s="216">
        <f>IF( 'Panoramica SP'!$B$8="Azienda",'Conto economico'!M10,IF(OR( 'Panoramica SP'!$B$4="Commercializzazione", 'Panoramica SP'!$B$4="Trasformazione"),'Conto economico'!M20,'Conto economico'!M11))</f>
        <v>0</v>
      </c>
      <c r="M9" s="215"/>
      <c r="N9" s="218"/>
      <c r="O9" s="217"/>
      <c r="P9" s="216"/>
      <c r="Q9" s="217"/>
      <c r="R9" s="695" t="str">
        <f t="shared" ref="R9:R17" si="0">IF(D9=0,"","compilare solo per ‘n’ e ‘n+6’")</f>
        <v>compilare solo per ‘n’ e ‘n+6’</v>
      </c>
      <c r="T9" s="213"/>
    </row>
    <row r="10" spans="1:44" s="212" customFormat="1" ht="30.95" customHeight="1" outlineLevel="1" x14ac:dyDescent="0.25">
      <c r="A10" s="748"/>
      <c r="B10" s="694" t="str">
        <f>IF('Panoramica SP'!$B$4="selezionare","",'Panoramica SP'!$B$4)</f>
        <v/>
      </c>
      <c r="C10" s="694" t="str">
        <f>IF('Panoramica SP'!$B$5="selezionare","",'Panoramica SP'!$B$5)</f>
        <v>Latte</v>
      </c>
      <c r="D10" s="206" t="str">
        <f>IF(AND( 'Panoramica SP'!$B$8="Ramo aziendale",OR( 'Panoramica SP'!$B$4="Commercializzazione", 'Panoramica SP'!$B$4="Trasformazione")),'Dropdown input'!M54,IF(AND( 'Panoramica SP'!$B$8="Ramo aziendale",OR( 'Panoramica SP'!$B$4="Ampliamento_e_ulteriore_sviluppo_ramo_aziendale_nell’azienda_agricola", 'Panoramica SP'!$B$4="Produzione", 'Panoramica SP'!$B$4="Altro")),'Dropdown input'!J54,IF(AND( 'Panoramica SP'!$B$8="Azienda",OR( 'Panoramica SP'!$B$4="Commercializzazione", 'Panoramica SP'!$B$4="Trasformazione")),'Dropdown input'!G54,'Dropdown input'!D54)))</f>
        <v/>
      </c>
      <c r="E10" s="689" t="str">
        <f>IF(AND( 'Panoramica SP'!$B$8="Ramo aziendale",OR( 'Panoramica SP'!$B$4="Commercializzazione", 'Panoramica SP'!$B$4="Trasformazione")),'Dropdown input'!N54,IF(AND( 'Panoramica SP'!$B$8="Ramo aziendale",OR( 'Panoramica SP'!$B$4="Ampliamento_e_ulteriore_sviluppo_ramo_aziendale_nell’azienda_agricola", 'Panoramica SP'!$B$4="Produzione", 'Panoramica SP'!$B$4="Altro")),'Dropdown input'!K54,IF(AND( 'Panoramica SP'!$B$8="Azienda",OR( 'Panoramica SP'!$B$4="Commercializzazione", 'Panoramica SP'!$B$4="Trasformazione")),'Dropdown input'!H54,'Dropdown input'!E54)))</f>
        <v/>
      </c>
      <c r="F10" s="753" t="str">
        <f>IF('Panoramica SP'!$D$2="","",'Panoramica SP'!$D$2)</f>
        <v/>
      </c>
      <c r="G10" s="215">
        <f>IF( 'Panoramica SP'!$B$8="Azienda",'Conto economico'!N10,IF(OR( 'Panoramica SP'!$B$4="Commercializzazione", 'Panoramica SP'!$B$4="Trasformazione"),'Conto economico'!L11,'Conto economico'!N11))</f>
        <v>0</v>
      </c>
      <c r="H10" s="216"/>
      <c r="I10" s="217"/>
      <c r="J10" s="216"/>
      <c r="K10" s="217"/>
      <c r="L10" s="216">
        <f>IF( 'Panoramica SP'!$B$8="Azienda",'Conto economico'!O10,IF(OR( 'Panoramica SP'!$B$4="Commercializzazione", 'Panoramica SP'!$B$4="Trasformazione"),'Conto economico'!M11,'Conto economico'!O11))</f>
        <v>0</v>
      </c>
      <c r="M10" s="215"/>
      <c r="N10" s="218"/>
      <c r="O10" s="217"/>
      <c r="P10" s="216"/>
      <c r="Q10" s="217"/>
      <c r="R10" s="695" t="str">
        <f t="shared" si="0"/>
        <v>compilare solo per ‘n’ e ‘n+6’</v>
      </c>
      <c r="T10" s="213"/>
    </row>
    <row r="11" spans="1:44" s="212" customFormat="1" ht="30.95" customHeight="1" outlineLevel="1" x14ac:dyDescent="0.25">
      <c r="A11" s="748"/>
      <c r="B11" s="694" t="str">
        <f>IF('Panoramica SP'!$B$4="selezionare","",'Panoramica SP'!$B$4)</f>
        <v/>
      </c>
      <c r="C11" s="694" t="str">
        <f>IF('Panoramica SP'!$B$5="selezionare","",'Panoramica SP'!$B$5)</f>
        <v>Latte</v>
      </c>
      <c r="D11" s="206" t="str">
        <f>IF(AND( 'Panoramica SP'!$B$8="Ramo aziendale",OR( 'Panoramica SP'!$B$4="Commercializzazione", 'Panoramica SP'!$B$4="Trasformazione")),'Dropdown input'!M55,IF(AND( 'Panoramica SP'!$B$8="Ramo aziendale",OR( 'Panoramica SP'!$B$4="Ampliamento_e_ulteriore_sviluppo_ramo_aziendale_nell’azienda_agricola", 'Panoramica SP'!$B$4="Produzione", 'Panoramica SP'!$B$4="Altro")),'Dropdown input'!J55,IF(AND( 'Panoramica SP'!$B$8="Azienda",OR( 'Panoramica SP'!$B$4="Commercializzazione", 'Panoramica SP'!$B$4="Trasformazione")),'Dropdown input'!G55,'Dropdown input'!D55)))</f>
        <v/>
      </c>
      <c r="E11" s="689" t="str">
        <f>IF(AND( 'Panoramica SP'!$B$8="Ramo aziendale",OR( 'Panoramica SP'!$B$4="Commercializzazione", 'Panoramica SP'!$B$4="Trasformazione")),'Dropdown input'!N55,IF(AND( 'Panoramica SP'!$B$8="Ramo aziendale",OR( 'Panoramica SP'!$B$4="Ampliamento_e_ulteriore_sviluppo_ramo_aziendale_nell’azienda_agricola", 'Panoramica SP'!$B$4="Produzione", 'Panoramica SP'!$B$4="Altro")),'Dropdown input'!K55,IF(AND( 'Panoramica SP'!$B$8="Azienda",OR( 'Panoramica SP'!$B$4="Commercializzazione", 'Panoramica SP'!$B$4="Trasformazione")),'Dropdown input'!H55,'Dropdown input'!E55)))</f>
        <v/>
      </c>
      <c r="F11" s="753" t="str">
        <f>IF('Panoramica SP'!$D$2="","",'Panoramica SP'!$D$2)</f>
        <v/>
      </c>
      <c r="G11" s="215">
        <f>IF(AND( 'Panoramica SP'!$B$8="Azienda", 'Panoramica SP'!$B$4="Produzione"),'Conto economico'!L11,IF(AND( 'Panoramica SP'!$B$8="Azienda",OR( 'Panoramica SP'!$B$4="Commercializzazione", 'Panoramica SP'!$B$4="Trasformazione")),'Conto economico'!L20,IF(AND( 'Panoramica SP'!$B$8="Ramo aziendale",OR( 'Panoramica SP'!$B$4="Commercializzazione", 'Panoramica SP'!$B$4="Trasformazione")),'Conto economico'!N11,'Conto economico'!L12)))</f>
        <v>0</v>
      </c>
      <c r="H11" s="216"/>
      <c r="I11" s="217"/>
      <c r="J11" s="216"/>
      <c r="K11" s="217"/>
      <c r="L11" s="216">
        <f>IF(AND( 'Panoramica SP'!$B$8="Azienda", 'Panoramica SP'!$B$4="Produzione"),'Conto economico'!M11,IF(AND( 'Panoramica SP'!$B$8="Azienda",OR( 'Panoramica SP'!$B$4="Commercializzazione", 'Panoramica SP'!$B$4="Trasformazione")),'Conto economico'!M20,IF(AND( 'Panoramica SP'!$B$8="Ramo aziendale",OR( 'Panoramica SP'!$B$4="Commercializzazione", 'Panoramica SP'!$B$4="Trasformazione")),'Conto economico'!O11,'Conto economico'!M12)))</f>
        <v>0</v>
      </c>
      <c r="M11" s="215"/>
      <c r="N11" s="218"/>
      <c r="O11" s="217"/>
      <c r="P11" s="216"/>
      <c r="Q11" s="217"/>
      <c r="R11" s="695" t="str">
        <f t="shared" si="0"/>
        <v>compilare solo per ‘n’ e ‘n+6’</v>
      </c>
      <c r="T11" s="213"/>
    </row>
    <row r="12" spans="1:44" s="212" customFormat="1" ht="15.75" outlineLevel="1" x14ac:dyDescent="0.25">
      <c r="A12" s="748"/>
      <c r="B12" s="694" t="str">
        <f>IF('Panoramica SP'!$B$4="selezionare","",'Panoramica SP'!$B$4)</f>
        <v/>
      </c>
      <c r="C12" s="694" t="str">
        <f>IF('Panoramica SP'!$B$5="selezionare","",'Panoramica SP'!$B$5)</f>
        <v>Latte</v>
      </c>
      <c r="D12" s="214" t="str">
        <f>IF(AND( 'Panoramica SP'!$B$8="Ramo aziendale",OR( 'Panoramica SP'!$B$4="Commercializzazione", 'Panoramica SP'!$B$4="Trasformazione")),'Dropdown input'!M56,IF(AND( 'Panoramica SP'!$B$8="Ramo aziendale",OR( 'Panoramica SP'!$B$4="Ampliamento_e_ulteriore_sviluppo_ramo_aziendale_nell’azienda_agricola", 'Panoramica SP'!$B$4="Produzione", 'Panoramica SP'!$B$4="Altro")),'Dropdown input'!J56,IF(AND( 'Panoramica SP'!$B$8="Azienda",OR( 'Panoramica SP'!$B$4="Commercializzazione", 'Panoramica SP'!$B$4="Trasformazione")),'Dropdown input'!G56,'Dropdown input'!D56)))</f>
        <v/>
      </c>
      <c r="E12" s="689" t="str">
        <f>IF(AND( 'Panoramica SP'!$B$8="Ramo aziendale",OR( 'Panoramica SP'!$B$4="Commercializzazione", 'Panoramica SP'!$B$4="Trasformazione")),'Dropdown input'!N56,IF(AND( 'Panoramica SP'!$B$8="Ramo aziendale",OR( 'Panoramica SP'!$B$4="Ampliamento_e_ulteriore_sviluppo_ramo_aziendale_nell’azienda_agricola", 'Panoramica SP'!$B$4="Produzione", 'Panoramica SP'!$B$4="Altro")),'Dropdown input'!K56,IF(AND( 'Panoramica SP'!$B$8="Azienda",OR( 'Panoramica SP'!$B$4="Commercializzazione", 'Panoramica SP'!$B$4="Trasformazione")),'Dropdown input'!H56,'Dropdown input'!E56)))</f>
        <v/>
      </c>
      <c r="F12" s="753" t="str">
        <f>IF('Panoramica SP'!$D$2="","",'Panoramica SP'!$D$2)</f>
        <v/>
      </c>
      <c r="G12" s="215">
        <f>IF(AND( 'Panoramica SP'!$B$8="Azienda", 'Panoramica SP'!$B$4="Produzione"),'Conto economico'!N11,IF(AND( 'Panoramica SP'!$B$8="Azienda",OR( 'Panoramica SP'!$B$4="Commercializzazione", 'Panoramica SP'!$B$4="Trasformazione")),'Conto economico'!L11,IF(AND( 'Panoramica SP'!$B$8="Ramo aziendale",OR( 'Panoramica SP'!$B$4="Commercializzazione", 'Panoramica SP'!$B$4="Trasformazione")),'Conto economico'!L21,'Conto economico'!N12)))</f>
        <v>0</v>
      </c>
      <c r="H12" s="216"/>
      <c r="I12" s="217"/>
      <c r="J12" s="216"/>
      <c r="K12" s="217"/>
      <c r="L12" s="216">
        <f>IF(AND( 'Panoramica SP'!$B$8="Azienda", 'Panoramica SP'!$B$4="Produzione"),'Conto economico'!O11,IF(AND( 'Panoramica SP'!$B$8="Azienda",OR( 'Panoramica SP'!$B$4="Commercializzazione", 'Panoramica SP'!$B$4="Trasformazione")),'Conto economico'!M11,IF(AND( 'Panoramica SP'!$B$8="Ramo aziendale",OR( 'Panoramica SP'!$B$4="Commercializzazione", 'Panoramica SP'!$B$4="Trasformazione")),'Conto economico'!M21,'Conto economico'!O12)))</f>
        <v>0</v>
      </c>
      <c r="M12" s="215"/>
      <c r="N12" s="218"/>
      <c r="O12" s="217"/>
      <c r="P12" s="216"/>
      <c r="Q12" s="217"/>
      <c r="R12" s="695" t="str">
        <f t="shared" si="0"/>
        <v>compilare solo per ‘n’ e ‘n+6’</v>
      </c>
      <c r="T12" s="213"/>
    </row>
    <row r="13" spans="1:44" s="212" customFormat="1" ht="47.25" customHeight="1" outlineLevel="1" x14ac:dyDescent="0.25">
      <c r="A13" s="748"/>
      <c r="B13" s="694" t="str">
        <f>IF('Panoramica SP'!$B$4="selezionare","",'Panoramica SP'!$B$4)</f>
        <v/>
      </c>
      <c r="C13" s="694" t="str">
        <f>IF('Panoramica SP'!$B$5="selezionare","",'Panoramica SP'!$B$5)</f>
        <v>Latte</v>
      </c>
      <c r="D13" s="214" t="str">
        <f>IF(AND( 'Panoramica SP'!$B$8="Ramo aziendale",OR( 'Panoramica SP'!$B$4="Commercializzazione", 'Panoramica SP'!$B$4="Trasformazione")),'Dropdown input'!M57,IF(AND( 'Panoramica SP'!$B$8="Ramo aziendale",OR( 'Panoramica SP'!$B$4="Ampliamento_e_ulteriore_sviluppo_ramo_aziendale_nell’azienda_agricola", 'Panoramica SP'!$B$4="Produzione", 'Panoramica SP'!$B$4="Altro")),'Dropdown input'!J57,IF(AND( 'Panoramica SP'!$B$8="Azienda",OR( 'Panoramica SP'!$B$4="Commercializzazione", 'Panoramica SP'!$B$4="Trasformazione")),'Dropdown input'!G57,'Dropdown input'!D57)))</f>
        <v/>
      </c>
      <c r="E13" s="689" t="str">
        <f>IF(AND( 'Panoramica SP'!$B$8="Ramo aziendale",OR( 'Panoramica SP'!$B$4="Commercializzazione", 'Panoramica SP'!$B$4="Trasformazione")),'Dropdown input'!N57,IF(AND( 'Panoramica SP'!$B$8="Ramo aziendale",OR( 'Panoramica SP'!$B$4="Ampliamento_e_ulteriore_sviluppo_ramo_aziendale_nell’azienda_agricola", 'Panoramica SP'!$B$4="Produzione", 'Panoramica SP'!$B$4="Altro")),'Dropdown input'!K57,IF(AND( 'Panoramica SP'!$B$8="Azienda",OR( 'Panoramica SP'!$B$4="Commercializzazione", 'Panoramica SP'!$B$4="Trasformazione")),'Dropdown input'!H57,'Dropdown input'!E57)))</f>
        <v/>
      </c>
      <c r="F13" s="753" t="str">
        <f>IF('Panoramica SP'!$D$2="","",'Panoramica SP'!$D$2)</f>
        <v/>
      </c>
      <c r="G13" s="215" t="str">
        <f>IF(AND( 'Panoramica SP'!$B$8="Azienda", 'Panoramica SP'!$B$4="Produzione"),'Conto economico'!L12,IF(AND( 'Panoramica SP'!$B$8="Azienda",OR( 'Panoramica SP'!$B$4="Commercializzazione", 'Panoramica SP'!$B$4="Trasformazione")),'Conto economico'!N11,IF(AND( 'Panoramica SP'!$B$8="Ramo aziendale",OR( 'Panoramica SP'!$B$4="Commercializzazione", 'Panoramica SP'!$B$4="Trasformazione")),'Conto economico'!L12,"")))</f>
        <v/>
      </c>
      <c r="H13" s="216"/>
      <c r="I13" s="217"/>
      <c r="J13" s="216"/>
      <c r="K13" s="217"/>
      <c r="L13" s="216" t="str">
        <f>IF(AND( 'Panoramica SP'!$B$8="Azienda", 'Panoramica SP'!$B$4="Produzione"),'Conto economico'!M12,IF(AND( 'Panoramica SP'!$B$8="Azienda",OR( 'Panoramica SP'!$B$4="Commercializzazione", 'Panoramica SP'!$B$4="Trasformazione")),'Conto economico'!O11,IF(AND( 'Panoramica SP'!$B$8="Ramo aziendale",OR( 'Panoramica SP'!$B$4="Commercializzazione", 'Panoramica SP'!$B$4="Trasformazione")),'Conto economico'!M12,"")))</f>
        <v/>
      </c>
      <c r="M13" s="215"/>
      <c r="N13" s="218"/>
      <c r="O13" s="217"/>
      <c r="P13" s="216"/>
      <c r="Q13" s="217"/>
      <c r="R13" s="695" t="str">
        <f t="shared" si="0"/>
        <v>compilare solo per ‘n’ e ‘n+6’</v>
      </c>
      <c r="T13" s="213"/>
    </row>
    <row r="14" spans="1:44" s="212" customFormat="1" ht="31.5" customHeight="1" outlineLevel="1" x14ac:dyDescent="0.25">
      <c r="A14" s="748"/>
      <c r="B14" s="694" t="str">
        <f>IF('Panoramica SP'!$B$4="selezionare","",'Panoramica SP'!$B$4)</f>
        <v/>
      </c>
      <c r="C14" s="694" t="str">
        <f>IF('Panoramica SP'!$B$5="selezionare","",'Panoramica SP'!$B$5)</f>
        <v>Latte</v>
      </c>
      <c r="D14" s="207" t="str">
        <f>IF(AND( 'Panoramica SP'!$B$8="Ramo aziendale",OR( 'Panoramica SP'!$B$4="Commercializzazione", 'Panoramica SP'!$B$4="Trasformazione")),'Dropdown input'!M58,IF(AND( 'Panoramica SP'!$B$8="Ramo aziendale",OR( 'Panoramica SP'!$B$4="Ampliamento_e_ulteriore_sviluppo_ramo_aziendale_nell’azienda_agricola", 'Panoramica SP'!$B$4="Produzione", 'Panoramica SP'!$B$4="Altro")),'Dropdown input'!J58,IF(AND( 'Panoramica SP'!$B$8="Azienda",OR( 'Panoramica SP'!$B$4="Commercializzazione", 'Panoramica SP'!$B$4="Trasformazione")),'Dropdown input'!G58,'Dropdown input'!D58)))</f>
        <v/>
      </c>
      <c r="E14" s="755" t="str">
        <f>IF(AND( 'Panoramica SP'!$B$8="Ramo aziendale",OR( 'Panoramica SP'!$B$4="Commercializzazione", 'Panoramica SP'!$B$4="Trasformazione")),'Dropdown input'!N58,IF(AND( 'Panoramica SP'!$B$8="Ramo aziendale",OR( 'Panoramica SP'!$B$4="Ampliamento_e_ulteriore_sviluppo_ramo_aziendale_nell’azienda_agricola", 'Panoramica SP'!$B$4="Produzione", 'Panoramica SP'!$B$4="Altro")),'Dropdown input'!K58,IF(AND( 'Panoramica SP'!$B$8="Azienda",OR( 'Panoramica SP'!$B$4="Commercializzazione", 'Panoramica SP'!$B$4="Trasformazione")),'Dropdown input'!H58,'Dropdown input'!E58)))</f>
        <v/>
      </c>
      <c r="F14" s="753" t="str">
        <f>IF('Panoramica SP'!$D$2="","",'Panoramica SP'!$D$2)</f>
        <v/>
      </c>
      <c r="G14" s="215" t="str">
        <f>IF(AND( 'Panoramica SP'!$B$8="Azienda", 'Panoramica SP'!$B$4="Produzione"),'Conto economico'!N12,IF(AND( 'Panoramica SP'!$B$8="Azienda",OR( 'Panoramica SP'!$B$4="Commercializzazione", 'Panoramica SP'!$B$4="Trasformazione")),'Conto economico'!L21,IF(AND( 'Panoramica SP'!$B$8="Ramo aziendale",OR( 'Panoramica SP'!$B$4="Commercializzazione", 'Panoramica SP'!$B$4="Trasformazione")),'Conto economico'!N12,"")))</f>
        <v/>
      </c>
      <c r="H14" s="216"/>
      <c r="I14" s="217"/>
      <c r="J14" s="216"/>
      <c r="K14" s="217"/>
      <c r="L14" s="216" t="str">
        <f>IF(AND( 'Panoramica SP'!$B$8="Azienda", 'Panoramica SP'!$B$4="Produzione"),'Conto economico'!O12,IF(AND( 'Panoramica SP'!$B$8="Azienda",OR( 'Panoramica SP'!$B$4="Commercializzazione", 'Panoramica SP'!$B$4="Trasformazione")),'Conto economico'!M21,IF(AND( 'Panoramica SP'!$B$8="Ramo aziendale",OR( 'Panoramica SP'!$B$4="Commercializzazione", 'Panoramica SP'!$B$4="Trasformazione")),'Conto economico'!O12,"")))</f>
        <v/>
      </c>
      <c r="M14" s="215"/>
      <c r="N14" s="218"/>
      <c r="O14" s="217"/>
      <c r="P14" s="216"/>
      <c r="Q14" s="217"/>
      <c r="R14" s="695" t="str">
        <f t="shared" si="0"/>
        <v>compilare solo per ‘n’ e ‘n+6’</v>
      </c>
      <c r="T14" s="213"/>
    </row>
    <row r="15" spans="1:44" s="212" customFormat="1" ht="31.5" customHeight="1" outlineLevel="1" x14ac:dyDescent="0.25">
      <c r="A15" s="748"/>
      <c r="B15" s="694" t="str">
        <f>IF('Panoramica SP'!$B$4="selezionare","",'Panoramica SP'!$B$4)</f>
        <v/>
      </c>
      <c r="C15" s="694" t="str">
        <f>IF('Panoramica SP'!$B$5="selezionare","",'Panoramica SP'!$B$5)</f>
        <v>Latte</v>
      </c>
      <c r="D15" s="214">
        <f>IF(AND( 'Panoramica SP'!$B$8="Ramo aziendale",OR( 'Panoramica SP'!$B$4="Commercializzazione", 'Panoramica SP'!$B$4="Trasformazione")),'Dropdown input'!M59,IF(AND( 'Panoramica SP'!$B$8="Ramo aziendale",OR( 'Panoramica SP'!$B$4="Ampliamento_e_ulteriore_sviluppo_ramo_aziendale_nell’azienda_agricola", 'Panoramica SP'!$B$4="Produzione", 'Panoramica SP'!$B$4="Altro")),'Dropdown input'!J59,IF(AND( 'Panoramica SP'!$B$8="Azienda",OR( 'Panoramica SP'!$B$4="Commercializzazione", 'Panoramica SP'!$B$4="Trasformazione")),'Dropdown input'!G59,'Dropdown input'!D59)))</f>
        <v>0</v>
      </c>
      <c r="E15" s="689">
        <f>IF(AND( 'Panoramica SP'!$B$8="Ramo aziendale",OR( 'Panoramica SP'!$B$4="Commercializzazione", 'Panoramica SP'!$B$4="Trasformazione")),'Dropdown input'!N59,IF(AND( 'Panoramica SP'!$B$8="Ramo aziendale",OR( 'Panoramica SP'!$B$4="Ampliamento_e_ulteriore_sviluppo_ramo_aziendale_nell’azienda_agricola", 'Panoramica SP'!$B$4="Produzione", 'Panoramica SP'!$B$4="Altro")),'Dropdown input'!K59,IF(AND( 'Panoramica SP'!$B$8="Azienda",OR( 'Panoramica SP'!$B$4="Commercializzazione", 'Panoramica SP'!$B$4="Trasformazione")),'Dropdown input'!H59,'Dropdown input'!E59)))</f>
        <v>0</v>
      </c>
      <c r="F15" s="753" t="str">
        <f>IF('Panoramica SP'!$D$2="","",'Panoramica SP'!$D$2)</f>
        <v/>
      </c>
      <c r="G15" s="215" t="str">
        <f>IF(AND( 'Panoramica SP'!$B$8="Azienda", 'Panoramica SP'!$B$4="Produzione"),"",IF(AND( 'Panoramica SP'!$B$8="Azienda",OR( 'Panoramica SP'!$B$4="Commercializzazione", 'Panoramica SP'!$B$4="Trasformazione")),'Conto economico'!L12,IF(AND( 'Panoramica SP'!$B$8="Ramo aziendale",OR( 'Panoramica SP'!$B$4="Commercializzazione", 'Panoramica SP'!$B$4="Trasformazione")),'Conto economico'!L22,"")))</f>
        <v/>
      </c>
      <c r="H15" s="216"/>
      <c r="I15" s="217"/>
      <c r="J15" s="216"/>
      <c r="K15" s="217"/>
      <c r="L15" s="216" t="str">
        <f>IF(AND( 'Panoramica SP'!$B$8="Azienda", 'Panoramica SP'!$B$4="Produzione"),"",IF(AND( 'Panoramica SP'!$B$8="Azienda",OR( 'Panoramica SP'!$B$4="Commercializzazione", 'Panoramica SP'!$B$4="Trasformazione")),'Conto economico'!M12,IF(AND( 'Panoramica SP'!$B$8="Ramo aziendale",OR( 'Panoramica SP'!$B$4="Commercializzazione", 'Panoramica SP'!$B$4="Trasformazione")),'Conto economico'!M22,"")))</f>
        <v/>
      </c>
      <c r="M15" s="215"/>
      <c r="N15" s="218"/>
      <c r="O15" s="217"/>
      <c r="P15" s="216"/>
      <c r="Q15" s="217"/>
      <c r="R15" s="695" t="str">
        <f t="shared" si="0"/>
        <v/>
      </c>
      <c r="T15" s="213"/>
    </row>
    <row r="16" spans="1:44" s="212" customFormat="1" ht="31.5" customHeight="1" outlineLevel="1" x14ac:dyDescent="0.25">
      <c r="A16" s="748"/>
      <c r="B16" s="694" t="str">
        <f>IF('Panoramica SP'!$B$4="selezionare","",'Panoramica SP'!$B$4)</f>
        <v/>
      </c>
      <c r="C16" s="694" t="str">
        <f>IF('Panoramica SP'!$B$5="selezionare","",'Panoramica SP'!$B$5)</f>
        <v>Latte</v>
      </c>
      <c r="D16" s="214">
        <f>IF(AND( 'Panoramica SP'!$B$8="Ramo aziendale",OR( 'Panoramica SP'!$B$4="Commercializzazione", 'Panoramica SP'!$B$4="Trasformazione")),'Dropdown input'!M60,IF(AND( 'Panoramica SP'!$B$8="Ramo aziendale",OR( 'Panoramica SP'!$B$4="Ampliamento_e_ulteriore_sviluppo_ramo_aziendale_nell’azienda_agricola", 'Panoramica SP'!$B$4="Produzione", 'Panoramica SP'!$B$4="Altro")),'Dropdown input'!J60,IF(AND( 'Panoramica SP'!$B$8="Azienda",OR( 'Panoramica SP'!$B$4="Commercializzazione", 'Panoramica SP'!$B$4="Trasformazione")),'Dropdown input'!G60,'Dropdown input'!D60)))</f>
        <v>0</v>
      </c>
      <c r="E16" s="689">
        <f>IF(AND( 'Panoramica SP'!$B$8="Ramo aziendale",OR( 'Panoramica SP'!$B$4="Commercializzazione", 'Panoramica SP'!$B$4="Trasformazione")),'Dropdown input'!N60,IF(AND( 'Panoramica SP'!$B$8="Ramo aziendale",OR( 'Panoramica SP'!$B$4="Ampliamento_e_ulteriore_sviluppo_ramo_aziendale_nell’azienda_agricola", 'Panoramica SP'!$B$4="Produzione", 'Panoramica SP'!$B$4="Altro")),'Dropdown input'!K60,IF(AND( 'Panoramica SP'!$B$8="Azienda",OR( 'Panoramica SP'!$B$4="Commercializzazione", 'Panoramica SP'!$B$4="Trasformazione")),'Dropdown input'!H60,'Dropdown input'!E60)))</f>
        <v>0</v>
      </c>
      <c r="F16" s="753" t="str">
        <f>IF('Panoramica SP'!$D$2="","",'Panoramica SP'!$D$2)</f>
        <v/>
      </c>
      <c r="G16" s="215" t="str">
        <f>IF(AND('Panoramica SP'!$B$8="Azienda", 'Panoramica SP'!$B$4="Produzione"),"",IF(AND('Panoramica SP'!$B$8="Azienda",OR('Panoramica SP'!$B$4="Commercializzazione",'Panoramica SP'!$B$4="Trasformazione")),'Conto economico'!N12,IF(AND('Panoramica SP'!$B$8="Ramo aziendale",OR('Panoramica SP'!$B$4="Commercializzazione",'Panoramica SP'!$B$4="Trasformazione")),"","")))</f>
        <v/>
      </c>
      <c r="H16" s="216"/>
      <c r="I16" s="217"/>
      <c r="J16" s="216"/>
      <c r="K16" s="217"/>
      <c r="L16" s="216" t="str">
        <f>IF(AND( 'Panoramica SP'!$B$8="Azienda", 'Panoramica SP'!$B$4="Produzione"),"",IF(AND( 'Panoramica SP'!$B$8="Azienda",OR( 'Panoramica SP'!$B$4="Commercializzazione", 'Panoramica SP'!$B$4="Trasformazione")),'Conto economico'!O12,IF(AND( 'Panoramica SP'!$B$8="Ramo aziendale",OR( 'Panoramica SP'!$B$4="Commercializzazione", 'Panoramica SP'!$B$4="Trasformazione")),"","")))</f>
        <v/>
      </c>
      <c r="M16" s="215"/>
      <c r="N16" s="218"/>
      <c r="O16" s="217"/>
      <c r="P16" s="216"/>
      <c r="Q16" s="217"/>
      <c r="R16" s="695" t="str">
        <f t="shared" si="0"/>
        <v/>
      </c>
      <c r="T16" s="213"/>
    </row>
    <row r="17" spans="1:20" s="212" customFormat="1" ht="31.5" customHeight="1" outlineLevel="1" x14ac:dyDescent="0.25">
      <c r="A17" s="748"/>
      <c r="B17" s="694" t="str">
        <f>IF('Panoramica SP'!$B$4="selezionare","",'Panoramica SP'!$B$4)</f>
        <v/>
      </c>
      <c r="C17" s="694" t="str">
        <f>IF('Panoramica SP'!$B$5="selezionare","",'Panoramica SP'!$B$5)</f>
        <v>Latte</v>
      </c>
      <c r="D17" s="214">
        <f>IF(AND( 'Panoramica SP'!$B$8="Ramo aziendale",OR( 'Panoramica SP'!$B$4="Commercializzazione", 'Panoramica SP'!$B$4="Trasformazione")),'Dropdown input'!M61,IF(AND( 'Panoramica SP'!$B$8="Ramo aziendale",OR( 'Panoramica SP'!$B$4="Ampliamento_e_ulteriore_sviluppo_ramo_aziendale_nell’azienda_agricola", 'Panoramica SP'!$B$4="Produzione", 'Panoramica SP'!$B$4="Altro")),'Dropdown input'!J61,IF(AND( 'Panoramica SP'!$B$8="Azienda",OR( 'Panoramica SP'!$B$4="Commercializzazione", 'Panoramica SP'!$B$4="Trasformazione")),'Dropdown input'!G61,'Dropdown input'!D61)))</f>
        <v>0</v>
      </c>
      <c r="E17" s="689">
        <f>IF(AND( 'Panoramica SP'!$B$8="Ramo aziendale",OR( 'Panoramica SP'!$B$4="Commercializzazione", 'Panoramica SP'!$B$4="Trasformazione")),'Dropdown input'!N61,IF(AND( 'Panoramica SP'!$B$8="Ramo aziendale",OR( 'Panoramica SP'!$B$4="Ampliamento_e_ulteriore_sviluppo_ramo_aziendale_nell’azienda_agricola", 'Panoramica SP'!$B$4="Produzione", 'Panoramica SP'!$B$4="Altro")),'Dropdown input'!K61,IF(AND( 'Panoramica SP'!$B$8="Azienda",OR( 'Panoramica SP'!$B$4="Commercializzazione", 'Panoramica SP'!$B$4="Trasformazione")),'Dropdown input'!H61,'Dropdown input'!E61)))</f>
        <v>0</v>
      </c>
      <c r="F17" s="753" t="str">
        <f>IF('Panoramica SP'!$D$2="","",'Panoramica SP'!$D$2)</f>
        <v/>
      </c>
      <c r="G17" s="215" t="str">
        <f>IF(AND( 'Panoramica SP'!$B$8="Azienda", 'Panoramica SP'!$B$4="Produzione"),"",IF(AND( 'Panoramica SP'!$B$8="Azienda",OR( 'Panoramica SP'!$B$4="Commercializzazione", 'Panoramica SP'!$B$4="Trasformazione")),'Conto economico'!L22,IF(AND( 'Panoramica SP'!$B$8="Ramo aziendale",OR( 'Panoramica SP'!$B$4="Commercializzazione", 'Panoramica SP'!$B$4="Trasformazione")),"","")))</f>
        <v/>
      </c>
      <c r="H17" s="216"/>
      <c r="I17" s="217"/>
      <c r="J17" s="216"/>
      <c r="K17" s="217"/>
      <c r="L17" s="216" t="str">
        <f>IF(AND( 'Panoramica SP'!$B$8="Azienda", 'Panoramica SP'!$B$4="Produzione"),"",IF(AND( 'Panoramica SP'!$B$8="Azienda",OR( 'Panoramica SP'!$B$4="Commercializzazione", 'Panoramica SP'!$B$4="Trasformazione")),'Conto economico'!M22,IF(AND( 'Panoramica SP'!$B$8="Ramo aziendale",OR( 'Panoramica SP'!$B$4="Commercializzazione", 'Panoramica SP'!$B$4="Trasformazione")),"","")))</f>
        <v/>
      </c>
      <c r="M17" s="215"/>
      <c r="N17" s="218"/>
      <c r="O17" s="217"/>
      <c r="P17" s="216"/>
      <c r="Q17" s="217"/>
      <c r="R17" s="695" t="str">
        <f t="shared" si="0"/>
        <v/>
      </c>
      <c r="T17" s="213"/>
    </row>
    <row r="18" spans="1:20" s="212" customFormat="1" ht="15.75" outlineLevel="1" x14ac:dyDescent="0.25">
      <c r="A18" s="748"/>
      <c r="B18" s="694" t="str">
        <f>IF('Panoramica SP'!$B$4="selezionare","",'Panoramica SP'!$B$4)</f>
        <v/>
      </c>
      <c r="C18" s="694" t="str">
        <f>IF('Panoramica SP'!$B$5="selezionare","",'Panoramica SP'!$B$5)</f>
        <v>Latte</v>
      </c>
      <c r="D18" s="214"/>
      <c r="E18" s="689"/>
      <c r="F18" s="753" t="str">
        <f>IF('Panoramica SP'!$D$2="","",'Panoramica SP'!$D$2)</f>
        <v/>
      </c>
      <c r="G18" s="215"/>
      <c r="H18" s="216"/>
      <c r="I18" s="217"/>
      <c r="J18" s="216"/>
      <c r="K18" s="217"/>
      <c r="L18" s="216"/>
      <c r="M18" s="215"/>
      <c r="N18" s="218"/>
      <c r="O18" s="217"/>
      <c r="P18" s="216"/>
      <c r="Q18" s="217"/>
      <c r="R18" s="695"/>
      <c r="T18" s="213"/>
    </row>
    <row r="19" spans="1:20" s="203" customFormat="1" ht="15.75" outlineLevel="1" x14ac:dyDescent="0.25">
      <c r="A19" s="748"/>
      <c r="B19" s="694" t="str">
        <f>IF('Panoramica SP'!$B$4="selezionare","",'Panoramica SP'!$B$4)</f>
        <v/>
      </c>
      <c r="C19" s="694" t="str">
        <f>IF('Panoramica SP'!$B$5="selezionare","",'Panoramica SP'!$B$5)</f>
        <v>Latte</v>
      </c>
      <c r="D19" s="214"/>
      <c r="E19" s="689"/>
      <c r="F19" s="753" t="str">
        <f>IF('Panoramica SP'!$D$2="","",'Panoramica SP'!$D$2)</f>
        <v/>
      </c>
      <c r="G19" s="215"/>
      <c r="H19" s="216"/>
      <c r="I19" s="217"/>
      <c r="J19" s="216"/>
      <c r="K19" s="217"/>
      <c r="L19" s="216"/>
      <c r="M19" s="215"/>
      <c r="N19" s="218"/>
      <c r="O19" s="217"/>
      <c r="P19" s="216"/>
      <c r="Q19" s="217"/>
      <c r="R19" s="695"/>
      <c r="T19" s="204"/>
    </row>
    <row r="20" spans="1:20" s="203" customFormat="1" ht="15.75" outlineLevel="1" x14ac:dyDescent="0.25">
      <c r="A20" s="748"/>
      <c r="B20" s="694" t="str">
        <f>IF('Panoramica SP'!$B$4="selezionare","",'Panoramica SP'!$B$4)</f>
        <v/>
      </c>
      <c r="C20" s="694" t="str">
        <f>IF('Panoramica SP'!$B$5="selezionare","",'Panoramica SP'!$B$5)</f>
        <v>Latte</v>
      </c>
      <c r="D20" s="214"/>
      <c r="E20" s="689"/>
      <c r="F20" s="753" t="str">
        <f>IF('Panoramica SP'!$D$2="","",'Panoramica SP'!$D$2)</f>
        <v/>
      </c>
      <c r="G20" s="215"/>
      <c r="H20" s="216"/>
      <c r="I20" s="217"/>
      <c r="J20" s="216"/>
      <c r="K20" s="217"/>
      <c r="L20" s="216"/>
      <c r="M20" s="215"/>
      <c r="N20" s="218"/>
      <c r="O20" s="217"/>
      <c r="P20" s="216"/>
      <c r="Q20" s="217"/>
      <c r="R20" s="695"/>
      <c r="T20" s="204"/>
    </row>
    <row r="21" spans="1:20" s="203" customFormat="1" ht="15.75" outlineLevel="1" x14ac:dyDescent="0.25">
      <c r="A21" s="748"/>
      <c r="B21" s="694" t="str">
        <f>IF('Panoramica SP'!$B$4="selezionare","",'Panoramica SP'!$B$4)</f>
        <v/>
      </c>
      <c r="C21" s="694" t="str">
        <f>IF('Panoramica SP'!$B$5="selezionare","",'Panoramica SP'!$B$5)</f>
        <v>Latte</v>
      </c>
      <c r="D21" s="214"/>
      <c r="E21" s="689"/>
      <c r="F21" s="753" t="str">
        <f>IF('Panoramica SP'!$D$2="","",'Panoramica SP'!$D$2)</f>
        <v/>
      </c>
      <c r="G21" s="215"/>
      <c r="H21" s="216"/>
      <c r="I21" s="217"/>
      <c r="J21" s="216"/>
      <c r="K21" s="217"/>
      <c r="L21" s="216"/>
      <c r="M21" s="215"/>
      <c r="N21" s="218"/>
      <c r="O21" s="217"/>
      <c r="P21" s="216"/>
      <c r="Q21" s="217"/>
      <c r="R21" s="695"/>
      <c r="T21" s="204"/>
    </row>
    <row r="22" spans="1:20" s="203" customFormat="1" ht="15.75" outlineLevel="1" x14ac:dyDescent="0.25">
      <c r="A22" s="749"/>
      <c r="B22" s="694" t="str">
        <f>IF('Panoramica SP'!$B$4="selezionare","",'Panoramica SP'!$B$4)</f>
        <v/>
      </c>
      <c r="C22" s="694" t="str">
        <f>IF('Panoramica SP'!$B$5="selezionare","",'Panoramica SP'!$B$5)</f>
        <v>Latte</v>
      </c>
      <c r="D22" s="214"/>
      <c r="E22" s="689"/>
      <c r="F22" s="753" t="str">
        <f>IF('Panoramica SP'!$D$2="","",'Panoramica SP'!$D$2)</f>
        <v/>
      </c>
      <c r="G22" s="215"/>
      <c r="H22" s="216"/>
      <c r="I22" s="217"/>
      <c r="J22" s="216"/>
      <c r="K22" s="217"/>
      <c r="L22" s="216"/>
      <c r="M22" s="215"/>
      <c r="N22" s="218"/>
      <c r="O22" s="217"/>
      <c r="P22" s="216"/>
      <c r="Q22" s="217"/>
      <c r="R22" s="695"/>
      <c r="T22" s="204"/>
    </row>
  </sheetData>
  <sheetProtection sheet="1" objects="1" scenarios="1"/>
  <mergeCells count="1">
    <mergeCell ref="A3:T3"/>
  </mergeCells>
  <pageMargins left="0.7" right="0.7" top="0.78740157499999996" bottom="0.78740157499999996" header="0.3" footer="0.3"/>
  <pageSetup scale="46" orientation="landscape" r:id="rId1"/>
  <ignoredErrors>
    <ignoredError sqref="F5:F22"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AE134"/>
  <sheetViews>
    <sheetView showGridLines="0" view="pageBreakPreview" zoomScaleNormal="100" zoomScaleSheetLayoutView="100" workbookViewId="0">
      <selection activeCell="A13" sqref="A13"/>
    </sheetView>
  </sheetViews>
  <sheetFormatPr baseColWidth="10" defaultColWidth="11" defaultRowHeight="15.75" outlineLevelRow="1" x14ac:dyDescent="0.25"/>
  <cols>
    <col min="1" max="1" width="51.125" style="405" customWidth="1"/>
    <col min="2" max="2" width="19.125" style="405" bestFit="1" customWidth="1"/>
    <col min="3" max="3" width="10.625" style="405" customWidth="1"/>
    <col min="4" max="4" width="11" style="405"/>
    <col min="5" max="5" width="8.5" style="405" customWidth="1"/>
    <col min="6" max="10" width="11" style="405" customWidth="1"/>
    <col min="11" max="11" width="16.375" style="405" customWidth="1"/>
    <col min="12" max="12" width="16.125" style="405" customWidth="1"/>
    <col min="13" max="13" width="8.875" style="405" customWidth="1"/>
    <col min="14" max="14" width="6.5" style="405" customWidth="1"/>
    <col min="15" max="15" width="8.375" style="405" customWidth="1"/>
    <col min="16" max="16" width="23.875" style="405" customWidth="1"/>
    <col min="17" max="16384" width="11" style="405"/>
  </cols>
  <sheetData>
    <row r="1" spans="1:31" s="7" customFormat="1" x14ac:dyDescent="0.2">
      <c r="A1" s="221" t="s">
        <v>360</v>
      </c>
      <c r="B1" s="88"/>
      <c r="C1" s="88"/>
      <c r="D1" s="88"/>
      <c r="E1" s="88"/>
      <c r="F1" s="88"/>
      <c r="G1" s="88"/>
      <c r="H1" s="88"/>
      <c r="I1" s="88"/>
      <c r="J1" s="88"/>
      <c r="K1" s="88"/>
      <c r="L1" s="88"/>
      <c r="M1" s="88"/>
      <c r="N1" s="88"/>
      <c r="O1" s="88"/>
      <c r="P1" s="88"/>
      <c r="Q1" s="228"/>
      <c r="R1" s="228"/>
      <c r="S1" s="228"/>
      <c r="T1" s="228"/>
      <c r="U1" s="228"/>
      <c r="V1" s="228"/>
      <c r="W1" s="228"/>
      <c r="X1" s="228"/>
      <c r="Y1" s="228"/>
      <c r="Z1" s="228"/>
      <c r="AA1" s="228"/>
      <c r="AB1" s="228"/>
      <c r="AC1" s="228"/>
      <c r="AD1" s="228"/>
      <c r="AE1" s="228"/>
    </row>
    <row r="2" spans="1:31" s="399" customFormat="1" x14ac:dyDescent="0.2">
      <c r="A2" s="395" t="s">
        <v>16</v>
      </c>
      <c r="B2" s="396"/>
      <c r="C2" s="397"/>
      <c r="D2" s="398"/>
      <c r="E2" s="395" t="s">
        <v>15</v>
      </c>
      <c r="F2" s="396"/>
      <c r="G2" s="398"/>
      <c r="H2" s="398"/>
      <c r="I2" s="398"/>
      <c r="J2" s="398"/>
      <c r="K2" s="398"/>
      <c r="L2" s="398"/>
      <c r="M2" s="398"/>
      <c r="N2" s="398"/>
      <c r="O2" s="398"/>
    </row>
    <row r="3" spans="1:31" s="399" customFormat="1" x14ac:dyDescent="0.2">
      <c r="A3" s="400" t="s">
        <v>21</v>
      </c>
      <c r="B3" s="401" t="s">
        <v>153</v>
      </c>
      <c r="C3" s="402"/>
      <c r="D3" s="403"/>
      <c r="E3" s="403"/>
      <c r="F3" s="403"/>
      <c r="G3" s="403"/>
      <c r="H3" s="403"/>
      <c r="I3" s="403"/>
      <c r="J3" s="403"/>
      <c r="K3" s="403"/>
      <c r="L3" s="403"/>
      <c r="M3" s="403"/>
      <c r="N3" s="403"/>
      <c r="O3" s="403"/>
      <c r="P3" s="403"/>
    </row>
    <row r="4" spans="1:31" ht="6.95" customHeight="1" thickBot="1" x14ac:dyDescent="0.3">
      <c r="A4" s="404"/>
    </row>
    <row r="5" spans="1:31" ht="47.1" customHeight="1" thickTop="1" x14ac:dyDescent="0.25">
      <c r="A5" s="806" t="s">
        <v>361</v>
      </c>
      <c r="B5" s="807"/>
      <c r="C5" s="807"/>
      <c r="D5" s="807"/>
      <c r="E5" s="807"/>
      <c r="F5" s="807"/>
      <c r="G5" s="807"/>
      <c r="H5" s="807"/>
      <c r="I5" s="807"/>
      <c r="J5" s="807"/>
      <c r="K5" s="807"/>
      <c r="L5" s="807"/>
      <c r="M5" s="807"/>
      <c r="N5" s="807"/>
      <c r="O5" s="807"/>
      <c r="P5" s="808"/>
    </row>
    <row r="6" spans="1:31" ht="16.5" thickBot="1" x14ac:dyDescent="0.3">
      <c r="A6" s="407"/>
      <c r="B6" s="407"/>
      <c r="C6" s="407"/>
      <c r="D6" s="407"/>
      <c r="E6" s="407"/>
      <c r="F6" s="407"/>
      <c r="G6" s="407"/>
      <c r="H6" s="407"/>
      <c r="I6" s="407"/>
      <c r="J6" s="407"/>
      <c r="K6" s="407"/>
      <c r="L6" s="407"/>
      <c r="M6" s="407"/>
      <c r="N6" s="408"/>
      <c r="O6" s="408"/>
      <c r="P6" s="409"/>
    </row>
    <row r="7" spans="1:31" ht="16.5" thickTop="1" x14ac:dyDescent="0.25">
      <c r="A7" s="404"/>
      <c r="N7" s="410"/>
    </row>
    <row r="8" spans="1:31" s="415" customFormat="1" x14ac:dyDescent="0.2">
      <c r="A8" s="55" t="s">
        <v>154</v>
      </c>
      <c r="B8" s="411"/>
      <c r="C8" s="411"/>
      <c r="D8" s="411"/>
      <c r="E8" s="411"/>
      <c r="F8" s="411"/>
      <c r="G8" s="411"/>
      <c r="H8" s="411"/>
      <c r="I8" s="411"/>
      <c r="J8" s="411"/>
      <c r="K8" s="411"/>
      <c r="L8" s="55"/>
      <c r="M8" s="412"/>
      <c r="N8" s="413"/>
      <c r="O8" s="414"/>
      <c r="P8" s="414"/>
    </row>
    <row r="9" spans="1:31" outlineLevel="1" x14ac:dyDescent="0.25">
      <c r="A9" s="416" t="s">
        <v>258</v>
      </c>
      <c r="B9" s="417"/>
      <c r="C9" s="417"/>
      <c r="D9" s="417"/>
      <c r="E9" s="417"/>
      <c r="F9" s="417"/>
      <c r="G9" s="417"/>
      <c r="H9" s="417"/>
      <c r="I9" s="417"/>
      <c r="J9" s="417"/>
      <c r="K9" s="417"/>
      <c r="L9" s="418"/>
      <c r="M9" s="418"/>
      <c r="N9" s="419"/>
      <c r="O9" s="417"/>
      <c r="P9" s="417"/>
    </row>
    <row r="10" spans="1:31" s="19" customFormat="1" ht="47.25" outlineLevel="1" x14ac:dyDescent="0.2">
      <c r="A10" s="420"/>
      <c r="B10" s="421" t="s">
        <v>71</v>
      </c>
      <c r="C10" s="422" t="str">
        <f>'Conto economico'!C8</f>
        <v>n = anno precedente</v>
      </c>
      <c r="D10" s="422" t="str">
        <f>'Conto economico'!D8</f>
        <v>n+1 
(1° anno PSR)</v>
      </c>
      <c r="E10" s="422" t="str">
        <f>'Conto economico'!E8</f>
        <v>n+2</v>
      </c>
      <c r="F10" s="422" t="str">
        <f>'Conto economico'!F8</f>
        <v>n+3</v>
      </c>
      <c r="G10" s="422" t="str">
        <f>'Conto economico'!G8</f>
        <v>n+4</v>
      </c>
      <c r="H10" s="422" t="str">
        <f>'Conto economico'!H8</f>
        <v>n+5</v>
      </c>
      <c r="I10" s="422" t="str">
        <f>'Conto economico'!I8</f>
        <v>n+6</v>
      </c>
      <c r="J10" s="422" t="str">
        <f>'Conto economico'!J8</f>
        <v>1° anno dopo l'attuazione</v>
      </c>
      <c r="K10" s="423" t="s">
        <v>30</v>
      </c>
      <c r="L10" s="424" t="s">
        <v>128</v>
      </c>
      <c r="M10" s="425"/>
      <c r="N10" s="425"/>
    </row>
    <row r="11" spans="1:31" outlineLevel="1" x14ac:dyDescent="0.25">
      <c r="A11" s="426" t="s">
        <v>155</v>
      </c>
      <c r="B11" s="427"/>
      <c r="C11" s="428"/>
      <c r="D11" s="429"/>
      <c r="E11" s="429"/>
      <c r="F11" s="429"/>
      <c r="G11" s="429"/>
      <c r="H11" s="429"/>
      <c r="I11" s="430"/>
      <c r="J11" s="427"/>
      <c r="K11" s="431"/>
      <c r="L11" s="432"/>
    </row>
    <row r="12" spans="1:31" outlineLevel="1" x14ac:dyDescent="0.25">
      <c r="A12" s="433" t="s">
        <v>156</v>
      </c>
      <c r="B12" s="434" t="s">
        <v>142</v>
      </c>
      <c r="C12" s="435">
        <v>6000</v>
      </c>
      <c r="D12" s="436">
        <f>C12+D13*C12</f>
        <v>8400</v>
      </c>
      <c r="E12" s="436">
        <f t="shared" ref="E12:H12" si="0">D12+E13*D12</f>
        <v>9240</v>
      </c>
      <c r="F12" s="436">
        <f t="shared" si="0"/>
        <v>10626</v>
      </c>
      <c r="G12" s="436">
        <f t="shared" si="0"/>
        <v>11688.6</v>
      </c>
      <c r="H12" s="436">
        <f t="shared" si="0"/>
        <v>13441.89</v>
      </c>
      <c r="I12" s="437">
        <f>H12+I13*H12</f>
        <v>15458.173499999999</v>
      </c>
      <c r="J12" s="437">
        <f>I12+J13*I12</f>
        <v>17776.899525000001</v>
      </c>
      <c r="K12" s="438">
        <f>SUM(C12:I12)</f>
        <v>74854.663499999995</v>
      </c>
      <c r="L12" s="432"/>
    </row>
    <row r="13" spans="1:31" outlineLevel="1" x14ac:dyDescent="0.25">
      <c r="A13" s="439" t="s">
        <v>157</v>
      </c>
      <c r="B13" s="440" t="s">
        <v>6</v>
      </c>
      <c r="C13" s="441"/>
      <c r="D13" s="442">
        <v>0.4</v>
      </c>
      <c r="E13" s="442">
        <v>0.1</v>
      </c>
      <c r="F13" s="442">
        <v>0.15</v>
      </c>
      <c r="G13" s="442">
        <v>0.1</v>
      </c>
      <c r="H13" s="442">
        <v>0.15</v>
      </c>
      <c r="I13" s="442">
        <v>0.15</v>
      </c>
      <c r="J13" s="442">
        <v>0.15</v>
      </c>
      <c r="K13" s="443">
        <f>AVERAGE(D13:I13)</f>
        <v>0.17500000000000002</v>
      </c>
      <c r="L13" s="444" t="s">
        <v>137</v>
      </c>
      <c r="M13" s="445"/>
      <c r="N13" s="445"/>
    </row>
    <row r="14" spans="1:31" outlineLevel="1" x14ac:dyDescent="0.25">
      <c r="A14" s="439" t="s">
        <v>158</v>
      </c>
      <c r="B14" s="440" t="s">
        <v>8</v>
      </c>
      <c r="C14" s="446">
        <v>10</v>
      </c>
      <c r="D14" s="447">
        <v>10</v>
      </c>
      <c r="E14" s="447">
        <v>10</v>
      </c>
      <c r="F14" s="447">
        <v>10</v>
      </c>
      <c r="G14" s="447">
        <v>10</v>
      </c>
      <c r="H14" s="447">
        <v>10</v>
      </c>
      <c r="I14" s="447">
        <v>10</v>
      </c>
      <c r="J14" s="447">
        <v>10</v>
      </c>
      <c r="K14" s="448">
        <f>AVERAGE(C14:I14)</f>
        <v>10</v>
      </c>
      <c r="L14" s="444"/>
      <c r="M14" s="445"/>
      <c r="N14" s="445"/>
    </row>
    <row r="15" spans="1:31" outlineLevel="1" x14ac:dyDescent="0.25">
      <c r="A15" s="433" t="s">
        <v>159</v>
      </c>
      <c r="B15" s="434" t="s">
        <v>143</v>
      </c>
      <c r="C15" s="435">
        <f>C12/C14</f>
        <v>600</v>
      </c>
      <c r="D15" s="449">
        <f t="shared" ref="D15:J15" si="1">D12/D14</f>
        <v>840</v>
      </c>
      <c r="E15" s="449">
        <f t="shared" si="1"/>
        <v>924</v>
      </c>
      <c r="F15" s="449">
        <f t="shared" si="1"/>
        <v>1062.5999999999999</v>
      </c>
      <c r="G15" s="449">
        <f t="shared" si="1"/>
        <v>1168.8600000000001</v>
      </c>
      <c r="H15" s="449">
        <f t="shared" si="1"/>
        <v>1344.1889999999999</v>
      </c>
      <c r="I15" s="449">
        <f t="shared" si="1"/>
        <v>1545.8173499999998</v>
      </c>
      <c r="J15" s="449">
        <f t="shared" si="1"/>
        <v>1777.6899525000001</v>
      </c>
      <c r="K15" s="450">
        <f>SUM(C15:I15)</f>
        <v>7485.4663499999988</v>
      </c>
      <c r="L15" s="451"/>
      <c r="M15" s="452"/>
      <c r="N15" s="452"/>
    </row>
    <row r="16" spans="1:31" ht="3.6" customHeight="1" outlineLevel="1" x14ac:dyDescent="0.25">
      <c r="A16" s="433"/>
      <c r="B16" s="434"/>
      <c r="C16" s="453"/>
      <c r="D16" s="454"/>
      <c r="E16" s="454"/>
      <c r="F16" s="454"/>
      <c r="G16" s="454"/>
      <c r="H16" s="454"/>
      <c r="I16" s="455"/>
      <c r="J16" s="455"/>
      <c r="K16" s="456"/>
      <c r="L16" s="457"/>
    </row>
    <row r="17" spans="1:17" outlineLevel="1" x14ac:dyDescent="0.25">
      <c r="A17" s="458" t="s">
        <v>259</v>
      </c>
      <c r="B17" s="459"/>
      <c r="C17" s="460"/>
      <c r="D17" s="461"/>
      <c r="E17" s="461"/>
      <c r="F17" s="461"/>
      <c r="G17" s="461"/>
      <c r="H17" s="461"/>
      <c r="I17" s="462"/>
      <c r="J17" s="462"/>
      <c r="K17" s="463"/>
      <c r="L17" s="457"/>
    </row>
    <row r="18" spans="1:17" outlineLevel="1" x14ac:dyDescent="0.25">
      <c r="A18" s="433" t="s">
        <v>160</v>
      </c>
      <c r="B18" s="434" t="s">
        <v>144</v>
      </c>
      <c r="C18" s="464">
        <v>0.55000000000000004</v>
      </c>
      <c r="D18" s="465">
        <v>0.55000000000000004</v>
      </c>
      <c r="E18" s="465">
        <v>0.55000000000000004</v>
      </c>
      <c r="F18" s="465">
        <v>0.55000000000000004</v>
      </c>
      <c r="G18" s="465">
        <v>0.55000000000000004</v>
      </c>
      <c r="H18" s="465">
        <v>0.55000000000000004</v>
      </c>
      <c r="I18" s="466">
        <v>0.55000000000000004</v>
      </c>
      <c r="J18" s="466">
        <v>1.55</v>
      </c>
      <c r="K18" s="467">
        <f>AVERAGE(C18:I18)</f>
        <v>0.54999999999999993</v>
      </c>
      <c r="L18" s="451"/>
      <c r="M18" s="445"/>
      <c r="N18" s="445"/>
    </row>
    <row r="19" spans="1:17" outlineLevel="1" x14ac:dyDescent="0.25">
      <c r="A19" s="433" t="s">
        <v>161</v>
      </c>
      <c r="B19" s="434" t="s">
        <v>144</v>
      </c>
      <c r="C19" s="464">
        <v>0.6</v>
      </c>
      <c r="D19" s="468">
        <f>C19*C20+C19</f>
        <v>0.61199999999999999</v>
      </c>
      <c r="E19" s="468">
        <f t="shared" ref="E19:H19" si="2">D19*D20+D19</f>
        <v>0.59975999999999996</v>
      </c>
      <c r="F19" s="468">
        <f t="shared" si="2"/>
        <v>0.58776479999999998</v>
      </c>
      <c r="G19" s="468">
        <f t="shared" si="2"/>
        <v>0.60539774400000002</v>
      </c>
      <c r="H19" s="468">
        <f t="shared" si="2"/>
        <v>0.60539774400000002</v>
      </c>
      <c r="I19" s="469">
        <f>H19*H20+H19</f>
        <v>0.60539774400000002</v>
      </c>
      <c r="J19" s="469">
        <f>I19*I20+I19</f>
        <v>0.59328978911999997</v>
      </c>
      <c r="K19" s="467">
        <f>AVERAGE(C19:I19)</f>
        <v>0.60224543314285728</v>
      </c>
      <c r="L19" s="451"/>
      <c r="M19" s="452"/>
      <c r="N19" s="452"/>
    </row>
    <row r="20" spans="1:17" outlineLevel="1" x14ac:dyDescent="0.25">
      <c r="A20" s="439" t="s">
        <v>254</v>
      </c>
      <c r="B20" s="440" t="s">
        <v>6</v>
      </c>
      <c r="C20" s="441">
        <v>0.02</v>
      </c>
      <c r="D20" s="470">
        <v>-0.02</v>
      </c>
      <c r="E20" s="470">
        <v>-0.02</v>
      </c>
      <c r="F20" s="470">
        <v>0.03</v>
      </c>
      <c r="G20" s="442">
        <v>0</v>
      </c>
      <c r="H20" s="442">
        <v>0</v>
      </c>
      <c r="I20" s="471">
        <f>-2%</f>
        <v>-0.02</v>
      </c>
      <c r="J20" s="471">
        <f>-2%</f>
        <v>-0.02</v>
      </c>
      <c r="K20" s="467">
        <f>AVERAGE(C20:I20)</f>
        <v>-1.4285714285714288E-3</v>
      </c>
      <c r="L20" s="451"/>
      <c r="M20" s="445"/>
      <c r="N20" s="445"/>
    </row>
    <row r="21" spans="1:17" outlineLevel="1" x14ac:dyDescent="0.25">
      <c r="A21" s="433" t="s">
        <v>162</v>
      </c>
      <c r="B21" s="434" t="s">
        <v>145</v>
      </c>
      <c r="C21" s="472">
        <f>C19*C14</f>
        <v>6</v>
      </c>
      <c r="D21" s="473">
        <f t="shared" ref="D21:H21" si="3">D19*D14</f>
        <v>6.12</v>
      </c>
      <c r="E21" s="473">
        <f t="shared" si="3"/>
        <v>5.9975999999999994</v>
      </c>
      <c r="F21" s="473">
        <f t="shared" si="3"/>
        <v>5.8776479999999998</v>
      </c>
      <c r="G21" s="473">
        <f t="shared" si="3"/>
        <v>6.0539774400000006</v>
      </c>
      <c r="H21" s="473">
        <f t="shared" si="3"/>
        <v>6.0539774400000006</v>
      </c>
      <c r="I21" s="474">
        <f>I19*I14</f>
        <v>6.0539774400000006</v>
      </c>
      <c r="J21" s="474">
        <f>J19*J14</f>
        <v>5.9328978911999997</v>
      </c>
      <c r="K21" s="467">
        <f>AVERAGE(C21:I21)</f>
        <v>6.0224543314285706</v>
      </c>
      <c r="L21" s="451"/>
      <c r="M21" s="445"/>
      <c r="N21" s="445"/>
    </row>
    <row r="22" spans="1:17" ht="3.6" customHeight="1" outlineLevel="1" x14ac:dyDescent="0.25">
      <c r="A22" s="433"/>
      <c r="B22" s="434"/>
      <c r="C22" s="453"/>
      <c r="D22" s="454"/>
      <c r="E22" s="454"/>
      <c r="F22" s="454"/>
      <c r="G22" s="454"/>
      <c r="H22" s="454"/>
      <c r="I22" s="455"/>
      <c r="J22" s="455"/>
      <c r="K22" s="456"/>
      <c r="L22" s="457"/>
    </row>
    <row r="23" spans="1:17" outlineLevel="1" x14ac:dyDescent="0.25">
      <c r="A23" s="475" t="s">
        <v>255</v>
      </c>
      <c r="B23" s="434" t="s">
        <v>145</v>
      </c>
      <c r="C23" s="476">
        <v>1.2</v>
      </c>
      <c r="D23" s="477">
        <v>1.2</v>
      </c>
      <c r="E23" s="477">
        <v>1.2</v>
      </c>
      <c r="F23" s="477">
        <v>1.2</v>
      </c>
      <c r="G23" s="477">
        <v>1.2</v>
      </c>
      <c r="H23" s="477">
        <v>1.2</v>
      </c>
      <c r="I23" s="478">
        <v>1.2</v>
      </c>
      <c r="J23" s="478">
        <v>2.2000000000000002</v>
      </c>
      <c r="K23" s="467">
        <f>AVERAGE(C23:I23)</f>
        <v>1.2</v>
      </c>
      <c r="L23" s="451"/>
      <c r="M23" s="445"/>
      <c r="N23" s="445"/>
    </row>
    <row r="24" spans="1:17" ht="3.6" customHeight="1" outlineLevel="1" x14ac:dyDescent="0.25">
      <c r="A24" s="433"/>
      <c r="B24" s="434"/>
      <c r="C24" s="453"/>
      <c r="D24" s="454"/>
      <c r="E24" s="454"/>
      <c r="F24" s="454"/>
      <c r="G24" s="454"/>
      <c r="H24" s="454"/>
      <c r="I24" s="455"/>
      <c r="J24" s="455"/>
      <c r="K24" s="456"/>
      <c r="L24" s="457"/>
    </row>
    <row r="25" spans="1:17" outlineLevel="1" x14ac:dyDescent="0.25">
      <c r="A25" s="475" t="s">
        <v>260</v>
      </c>
      <c r="B25" s="434" t="s">
        <v>6</v>
      </c>
      <c r="C25" s="479">
        <v>0.3</v>
      </c>
      <c r="D25" s="480">
        <v>0.3</v>
      </c>
      <c r="E25" s="480">
        <v>0.3</v>
      </c>
      <c r="F25" s="480">
        <v>0.35</v>
      </c>
      <c r="G25" s="480">
        <v>0.35</v>
      </c>
      <c r="H25" s="480">
        <v>0.35</v>
      </c>
      <c r="I25" s="481">
        <v>0.35</v>
      </c>
      <c r="J25" s="481">
        <v>0.35</v>
      </c>
      <c r="K25" s="467">
        <f>AVERAGE(C25:I25)</f>
        <v>0.32857142857142863</v>
      </c>
      <c r="L25" s="451"/>
      <c r="M25" s="445"/>
      <c r="N25" s="445"/>
    </row>
    <row r="26" spans="1:17" outlineLevel="1" x14ac:dyDescent="0.25">
      <c r="A26" s="475" t="s">
        <v>163</v>
      </c>
      <c r="B26" s="434" t="s">
        <v>145</v>
      </c>
      <c r="C26" s="472">
        <f>(C21+C23)/(1-C25)</f>
        <v>10.285714285714286</v>
      </c>
      <c r="D26" s="473">
        <f>(D21+D23)/(1-D25)</f>
        <v>10.457142857142859</v>
      </c>
      <c r="E26" s="473">
        <f t="shared" ref="E26:H26" si="4">(E21+E23)/(1-E25)</f>
        <v>10.282285714285715</v>
      </c>
      <c r="F26" s="473">
        <f t="shared" si="4"/>
        <v>10.888689230769231</v>
      </c>
      <c r="G26" s="473">
        <f t="shared" si="4"/>
        <v>11.159965292307692</v>
      </c>
      <c r="H26" s="473">
        <f t="shared" si="4"/>
        <v>11.159965292307692</v>
      </c>
      <c r="I26" s="474">
        <f>(I21+I23)/(1-I25)</f>
        <v>11.159965292307692</v>
      </c>
      <c r="J26" s="474">
        <f>(J21+J23)/(1-J25)</f>
        <v>12.512150601846152</v>
      </c>
      <c r="K26" s="467">
        <f>AVERAGE(C26:I26)</f>
        <v>10.770532566405024</v>
      </c>
      <c r="L26" s="451"/>
      <c r="M26" s="452"/>
      <c r="N26" s="452"/>
    </row>
    <row r="27" spans="1:17" ht="3.6" customHeight="1" outlineLevel="1" x14ac:dyDescent="0.25">
      <c r="A27" s="433"/>
      <c r="B27" s="434"/>
      <c r="C27" s="453"/>
      <c r="D27" s="454"/>
      <c r="E27" s="454"/>
      <c r="F27" s="454"/>
      <c r="G27" s="454"/>
      <c r="H27" s="454"/>
      <c r="I27" s="455"/>
      <c r="J27" s="455"/>
      <c r="K27" s="456"/>
      <c r="L27" s="432"/>
      <c r="Q27" s="454"/>
    </row>
    <row r="28" spans="1:17" s="19" customFormat="1" outlineLevel="1" x14ac:dyDescent="0.2">
      <c r="A28" s="482" t="s">
        <v>164</v>
      </c>
      <c r="B28" s="483" t="s">
        <v>7</v>
      </c>
      <c r="C28" s="484">
        <f>C15*C26</f>
        <v>6171.4285714285716</v>
      </c>
      <c r="D28" s="485">
        <f t="shared" ref="D28:H28" si="5">D15*D26</f>
        <v>8784.0000000000018</v>
      </c>
      <c r="E28" s="485">
        <f t="shared" si="5"/>
        <v>9500.8320000000003</v>
      </c>
      <c r="F28" s="485">
        <f t="shared" si="5"/>
        <v>11570.321176615384</v>
      </c>
      <c r="G28" s="485">
        <f t="shared" si="5"/>
        <v>13044.437031566771</v>
      </c>
      <c r="H28" s="485">
        <f t="shared" si="5"/>
        <v>15001.102586301784</v>
      </c>
      <c r="I28" s="486">
        <f>I15*I26</f>
        <v>17251.26797424705</v>
      </c>
      <c r="J28" s="486">
        <f>J15*J26</f>
        <v>22242.724409068735</v>
      </c>
      <c r="K28" s="487">
        <f>SUM(C28:I28)</f>
        <v>81323.389340159571</v>
      </c>
      <c r="L28" s="488" t="s">
        <v>134</v>
      </c>
    </row>
    <row r="29" spans="1:17" s="19" customFormat="1" outlineLevel="1" x14ac:dyDescent="0.2">
      <c r="A29" s="489" t="s">
        <v>165</v>
      </c>
      <c r="B29" s="490" t="s">
        <v>7</v>
      </c>
      <c r="C29" s="491">
        <f>C12*C19+C23*C15</f>
        <v>4320</v>
      </c>
      <c r="D29" s="492">
        <f t="shared" ref="D29:H29" si="6">D12*D19+D23*D15</f>
        <v>6148.8</v>
      </c>
      <c r="E29" s="492">
        <f t="shared" si="6"/>
        <v>6650.5824000000002</v>
      </c>
      <c r="F29" s="492">
        <f t="shared" si="6"/>
        <v>7520.7087647999997</v>
      </c>
      <c r="G29" s="492">
        <f t="shared" si="6"/>
        <v>8478.8840705184011</v>
      </c>
      <c r="H29" s="492">
        <f t="shared" si="6"/>
        <v>9750.7166810961608</v>
      </c>
      <c r="I29" s="493">
        <f>I12*I19+I23*I15</f>
        <v>11213.324183260582</v>
      </c>
      <c r="J29" s="493">
        <f>J12*J19+J23*J15</f>
        <v>14457.770865894679</v>
      </c>
      <c r="K29" s="487">
        <f>SUM(C29:I29)</f>
        <v>54083.016099675151</v>
      </c>
      <c r="L29" s="488" t="s">
        <v>134</v>
      </c>
    </row>
    <row r="30" spans="1:17" s="19" customFormat="1" ht="16.5" outlineLevel="1" thickBot="1" x14ac:dyDescent="0.25">
      <c r="A30" s="494" t="s">
        <v>166</v>
      </c>
      <c r="B30" s="495" t="s">
        <v>7</v>
      </c>
      <c r="C30" s="496">
        <f>C28-C29</f>
        <v>1851.4285714285716</v>
      </c>
      <c r="D30" s="497">
        <f t="shared" ref="D30:H30" si="7">D28-D29</f>
        <v>2635.2000000000016</v>
      </c>
      <c r="E30" s="497">
        <f t="shared" si="7"/>
        <v>2850.2496000000001</v>
      </c>
      <c r="F30" s="497">
        <f t="shared" si="7"/>
        <v>4049.6124118153839</v>
      </c>
      <c r="G30" s="497">
        <f t="shared" si="7"/>
        <v>4565.55296104837</v>
      </c>
      <c r="H30" s="497">
        <f t="shared" si="7"/>
        <v>5250.3859052056232</v>
      </c>
      <c r="I30" s="498">
        <f>I28-I29</f>
        <v>6037.9437909864682</v>
      </c>
      <c r="J30" s="498">
        <f>J28-J29</f>
        <v>7784.9535431740551</v>
      </c>
      <c r="K30" s="499">
        <f>SUM(C30:I30)</f>
        <v>27240.37324048442</v>
      </c>
    </row>
    <row r="31" spans="1:17" ht="16.5" outlineLevel="1" thickTop="1" x14ac:dyDescent="0.25">
      <c r="A31" s="35"/>
      <c r="B31" s="500"/>
      <c r="C31" s="501"/>
      <c r="D31" s="501"/>
      <c r="E31" s="501"/>
      <c r="F31" s="501"/>
      <c r="G31" s="501"/>
      <c r="H31" s="501"/>
      <c r="I31" s="501"/>
      <c r="J31" s="501"/>
      <c r="L31" s="501"/>
      <c r="M31" s="501"/>
    </row>
    <row r="32" spans="1:17" outlineLevel="1" x14ac:dyDescent="0.25">
      <c r="A32" s="419" t="s">
        <v>167</v>
      </c>
      <c r="B32" s="417"/>
      <c r="C32" s="417"/>
      <c r="D32" s="417"/>
      <c r="E32" s="417"/>
      <c r="F32" s="417"/>
      <c r="G32" s="417"/>
      <c r="H32" s="417"/>
      <c r="I32" s="417"/>
      <c r="J32" s="417"/>
      <c r="K32" s="417"/>
      <c r="L32" s="417"/>
      <c r="M32" s="417"/>
      <c r="N32" s="417"/>
      <c r="O32" s="417"/>
      <c r="P32" s="417"/>
    </row>
    <row r="33" spans="1:16" s="19" customFormat="1" ht="47.25" outlineLevel="1" x14ac:dyDescent="0.2">
      <c r="A33" s="420"/>
      <c r="B33" s="421" t="s">
        <v>71</v>
      </c>
      <c r="C33" s="422" t="str">
        <f>'Conto economico'!C8</f>
        <v>n = anno precedente</v>
      </c>
      <c r="D33" s="422" t="str">
        <f>'Conto economico'!D8</f>
        <v>n+1 
(1° anno PSR)</v>
      </c>
      <c r="E33" s="422" t="str">
        <f>'Conto economico'!E8</f>
        <v>n+2</v>
      </c>
      <c r="F33" s="422" t="str">
        <f>'Conto economico'!F8</f>
        <v>n+3</v>
      </c>
      <c r="G33" s="422" t="str">
        <f>'Conto economico'!G8</f>
        <v>n+4</v>
      </c>
      <c r="H33" s="422" t="str">
        <f>'Conto economico'!H8</f>
        <v>n+5</v>
      </c>
      <c r="I33" s="422" t="str">
        <f>'Conto economico'!I8</f>
        <v>n+6</v>
      </c>
      <c r="J33" s="422" t="str">
        <f>'Conto economico'!J8</f>
        <v>1° anno dopo l'attuazione</v>
      </c>
      <c r="K33" s="423" t="s">
        <v>30</v>
      </c>
      <c r="L33" s="424" t="s">
        <v>128</v>
      </c>
      <c r="M33" s="425"/>
      <c r="N33" s="425"/>
    </row>
    <row r="34" spans="1:16" outlineLevel="1" x14ac:dyDescent="0.25">
      <c r="A34" s="426" t="s">
        <v>168</v>
      </c>
      <c r="B34" s="427"/>
      <c r="C34" s="428"/>
      <c r="D34" s="429"/>
      <c r="E34" s="429"/>
      <c r="F34" s="429"/>
      <c r="G34" s="429"/>
      <c r="H34" s="429"/>
      <c r="I34" s="430"/>
      <c r="J34" s="430"/>
      <c r="K34" s="502"/>
      <c r="L34" s="432"/>
    </row>
    <row r="35" spans="1:16" outlineLevel="1" x14ac:dyDescent="0.25">
      <c r="A35" s="428" t="s">
        <v>169</v>
      </c>
      <c r="B35" s="434" t="s">
        <v>141</v>
      </c>
      <c r="C35" s="435">
        <v>0</v>
      </c>
      <c r="D35" s="449">
        <f>52*3</f>
        <v>156</v>
      </c>
      <c r="E35" s="436">
        <f>D35*(1+E36)</f>
        <v>171.60000000000002</v>
      </c>
      <c r="F35" s="436">
        <f t="shared" ref="F35:H35" si="8">E35*(1+F36)</f>
        <v>188.76000000000005</v>
      </c>
      <c r="G35" s="436">
        <f t="shared" si="8"/>
        <v>207.63600000000008</v>
      </c>
      <c r="H35" s="436">
        <f t="shared" si="8"/>
        <v>228.39960000000011</v>
      </c>
      <c r="I35" s="503">
        <f>H35*(1+I36)</f>
        <v>251.23956000000013</v>
      </c>
      <c r="J35" s="503">
        <f>I35*(1+J36)</f>
        <v>527.60307600000033</v>
      </c>
      <c r="K35" s="438">
        <f>SUM(C35:I35)</f>
        <v>1203.6351600000005</v>
      </c>
      <c r="L35" s="451"/>
      <c r="M35" s="445"/>
      <c r="N35" s="445"/>
    </row>
    <row r="36" spans="1:16" outlineLevel="1" x14ac:dyDescent="0.25">
      <c r="A36" s="439" t="s">
        <v>170</v>
      </c>
      <c r="B36" s="440" t="s">
        <v>6</v>
      </c>
      <c r="C36" s="441"/>
      <c r="D36" s="442"/>
      <c r="E36" s="442">
        <v>0.1</v>
      </c>
      <c r="F36" s="442">
        <v>0.1</v>
      </c>
      <c r="G36" s="442">
        <v>0.1</v>
      </c>
      <c r="H36" s="442">
        <v>0.1</v>
      </c>
      <c r="I36" s="504">
        <v>0.1</v>
      </c>
      <c r="J36" s="504">
        <v>1.1000000000000001</v>
      </c>
      <c r="K36" s="443">
        <f>AVERAGE(D36:I36)</f>
        <v>0.1</v>
      </c>
      <c r="L36" s="451"/>
      <c r="M36" s="445"/>
      <c r="N36" s="445"/>
    </row>
    <row r="37" spans="1:16" outlineLevel="1" x14ac:dyDescent="0.25">
      <c r="A37" s="433" t="s">
        <v>171</v>
      </c>
      <c r="B37" s="434" t="s">
        <v>140</v>
      </c>
      <c r="C37" s="435">
        <v>0</v>
      </c>
      <c r="D37" s="449">
        <v>40</v>
      </c>
      <c r="E37" s="449">
        <v>40</v>
      </c>
      <c r="F37" s="449">
        <v>40</v>
      </c>
      <c r="G37" s="449">
        <v>40</v>
      </c>
      <c r="H37" s="449">
        <v>40</v>
      </c>
      <c r="I37" s="505">
        <v>40</v>
      </c>
      <c r="J37" s="505">
        <v>41</v>
      </c>
      <c r="K37" s="506">
        <f>SUM(C37:I37)</f>
        <v>240</v>
      </c>
      <c r="L37" s="451"/>
      <c r="M37" s="445"/>
      <c r="N37" s="445"/>
    </row>
    <row r="38" spans="1:16" outlineLevel="1" x14ac:dyDescent="0.25">
      <c r="A38" s="433" t="s">
        <v>163</v>
      </c>
      <c r="B38" s="434" t="s">
        <v>140</v>
      </c>
      <c r="C38" s="507"/>
      <c r="D38" s="436">
        <f>D37/(1-D39)</f>
        <v>80</v>
      </c>
      <c r="E38" s="436">
        <f t="shared" ref="E38:H38" si="9">E37/(1-E39)</f>
        <v>88.8888888888889</v>
      </c>
      <c r="F38" s="436">
        <f t="shared" si="9"/>
        <v>100</v>
      </c>
      <c r="G38" s="436">
        <f t="shared" si="9"/>
        <v>100</v>
      </c>
      <c r="H38" s="436">
        <f t="shared" si="9"/>
        <v>100</v>
      </c>
      <c r="I38" s="503">
        <f>I37/(1-I39)</f>
        <v>100</v>
      </c>
      <c r="J38" s="503">
        <f>J37/(1-J39)</f>
        <v>102.5</v>
      </c>
      <c r="K38" s="450">
        <f>AVERAGE(C38:I38)</f>
        <v>94.814814814814824</v>
      </c>
      <c r="L38" s="451"/>
      <c r="M38" s="445"/>
      <c r="N38" s="445"/>
    </row>
    <row r="39" spans="1:16" outlineLevel="1" x14ac:dyDescent="0.25">
      <c r="A39" s="433" t="s">
        <v>172</v>
      </c>
      <c r="B39" s="434" t="s">
        <v>6</v>
      </c>
      <c r="C39" s="479"/>
      <c r="D39" s="508">
        <v>0.5</v>
      </c>
      <c r="E39" s="480">
        <v>0.55000000000000004</v>
      </c>
      <c r="F39" s="480">
        <v>0.6</v>
      </c>
      <c r="G39" s="480">
        <v>0.6</v>
      </c>
      <c r="H39" s="480">
        <v>0.6</v>
      </c>
      <c r="I39" s="509">
        <v>0.6</v>
      </c>
      <c r="J39" s="509">
        <v>0.6</v>
      </c>
      <c r="K39" s="510">
        <f>AVERAGE(C39:I39)</f>
        <v>0.57500000000000007</v>
      </c>
      <c r="L39" s="451"/>
      <c r="M39" s="445"/>
      <c r="N39" s="445"/>
    </row>
    <row r="40" spans="1:16" ht="3.6" customHeight="1" outlineLevel="1" x14ac:dyDescent="0.25">
      <c r="A40" s="433"/>
      <c r="B40" s="434"/>
      <c r="C40" s="453"/>
      <c r="D40" s="454"/>
      <c r="E40" s="454"/>
      <c r="F40" s="454"/>
      <c r="G40" s="454"/>
      <c r="H40" s="454"/>
      <c r="I40" s="457"/>
      <c r="J40" s="457"/>
      <c r="K40" s="431"/>
      <c r="L40" s="488"/>
      <c r="M40" s="501"/>
      <c r="N40" s="406"/>
    </row>
    <row r="41" spans="1:16" s="19" customFormat="1" outlineLevel="1" x14ac:dyDescent="0.25">
      <c r="A41" s="482" t="s">
        <v>164</v>
      </c>
      <c r="B41" s="483"/>
      <c r="C41" s="484">
        <f>C35*C38</f>
        <v>0</v>
      </c>
      <c r="D41" s="485">
        <f t="shared" ref="D41:H41" si="10">D35*D38</f>
        <v>12480</v>
      </c>
      <c r="E41" s="485">
        <f t="shared" si="10"/>
        <v>15253.333333333338</v>
      </c>
      <c r="F41" s="485">
        <f t="shared" si="10"/>
        <v>18876.000000000004</v>
      </c>
      <c r="G41" s="485">
        <f t="shared" si="10"/>
        <v>20763.600000000009</v>
      </c>
      <c r="H41" s="485">
        <f t="shared" si="10"/>
        <v>22839.96000000001</v>
      </c>
      <c r="I41" s="511">
        <f>I35*I38</f>
        <v>25123.956000000013</v>
      </c>
      <c r="J41" s="511">
        <f>J35*J38</f>
        <v>54079.315290000035</v>
      </c>
      <c r="K41" s="512">
        <f>SUM(C41:I41)</f>
        <v>115336.84933333338</v>
      </c>
      <c r="L41" s="488" t="s">
        <v>134</v>
      </c>
      <c r="M41" s="501"/>
      <c r="N41" s="406"/>
    </row>
    <row r="42" spans="1:16" s="19" customFormat="1" outlineLevel="1" x14ac:dyDescent="0.25">
      <c r="A42" s="489" t="s">
        <v>165</v>
      </c>
      <c r="B42" s="490"/>
      <c r="C42" s="491">
        <f>C35*C37</f>
        <v>0</v>
      </c>
      <c r="D42" s="492">
        <f t="shared" ref="D42:H42" si="11">D35*D37</f>
        <v>6240</v>
      </c>
      <c r="E42" s="492">
        <f t="shared" si="11"/>
        <v>6864.0000000000009</v>
      </c>
      <c r="F42" s="492">
        <f t="shared" si="11"/>
        <v>7550.4000000000015</v>
      </c>
      <c r="G42" s="492">
        <f t="shared" si="11"/>
        <v>8305.4400000000023</v>
      </c>
      <c r="H42" s="492">
        <f t="shared" si="11"/>
        <v>9135.984000000004</v>
      </c>
      <c r="I42" s="513">
        <f>I35*I37</f>
        <v>10049.582400000005</v>
      </c>
      <c r="J42" s="513">
        <f>J35*J37</f>
        <v>21631.726116000013</v>
      </c>
      <c r="K42" s="512">
        <f>SUM(C42:I42)</f>
        <v>48145.406400000014</v>
      </c>
      <c r="L42" s="488" t="s">
        <v>134</v>
      </c>
      <c r="M42" s="514"/>
      <c r="N42" s="406"/>
    </row>
    <row r="43" spans="1:16" s="19" customFormat="1" ht="16.5" outlineLevel="1" thickBot="1" x14ac:dyDescent="0.3">
      <c r="A43" s="494" t="s">
        <v>173</v>
      </c>
      <c r="B43" s="495" t="s">
        <v>7</v>
      </c>
      <c r="C43" s="496">
        <f>C41-C42</f>
        <v>0</v>
      </c>
      <c r="D43" s="497">
        <f>D41-D42</f>
        <v>6240</v>
      </c>
      <c r="E43" s="497">
        <f t="shared" ref="E43:H43" si="12">E41-E42</f>
        <v>8389.3333333333358</v>
      </c>
      <c r="F43" s="497">
        <f t="shared" si="12"/>
        <v>11325.600000000002</v>
      </c>
      <c r="G43" s="497">
        <f t="shared" si="12"/>
        <v>12458.160000000007</v>
      </c>
      <c r="H43" s="497">
        <f t="shared" si="12"/>
        <v>13703.976000000006</v>
      </c>
      <c r="I43" s="515">
        <f>I41-I42</f>
        <v>15074.373600000008</v>
      </c>
      <c r="J43" s="515">
        <f>J41-J42</f>
        <v>32447.589174000022</v>
      </c>
      <c r="K43" s="516">
        <f>SUM(C43:I43)</f>
        <v>67191.442933333354</v>
      </c>
      <c r="L43" s="517"/>
      <c r="M43" s="518"/>
      <c r="N43" s="406"/>
    </row>
    <row r="44" spans="1:16" ht="16.5" outlineLevel="1" thickTop="1" x14ac:dyDescent="0.25">
      <c r="A44" s="35"/>
      <c r="B44" s="500"/>
      <c r="C44" s="501"/>
      <c r="D44" s="501"/>
      <c r="E44" s="501"/>
      <c r="F44" s="501"/>
      <c r="G44" s="501"/>
      <c r="H44" s="501"/>
      <c r="I44" s="501"/>
      <c r="J44" s="501"/>
      <c r="L44" s="501"/>
      <c r="M44" s="501"/>
    </row>
    <row r="45" spans="1:16" outlineLevel="1" x14ac:dyDescent="0.25">
      <c r="A45" s="419" t="s">
        <v>261</v>
      </c>
      <c r="B45" s="417"/>
      <c r="C45" s="417"/>
      <c r="D45" s="417"/>
      <c r="E45" s="417"/>
      <c r="F45" s="417"/>
      <c r="G45" s="417"/>
      <c r="H45" s="417"/>
      <c r="I45" s="417"/>
      <c r="J45" s="417"/>
      <c r="K45" s="417"/>
      <c r="L45" s="417"/>
      <c r="M45" s="417"/>
      <c r="N45" s="417"/>
      <c r="O45" s="417"/>
      <c r="P45" s="417"/>
    </row>
    <row r="46" spans="1:16" s="19" customFormat="1" ht="47.25" outlineLevel="1" x14ac:dyDescent="0.2">
      <c r="A46" s="420"/>
      <c r="B46" s="421" t="s">
        <v>71</v>
      </c>
      <c r="C46" s="422" t="str">
        <f>'Conto economico'!C8</f>
        <v>n = anno precedente</v>
      </c>
      <c r="D46" s="422" t="str">
        <f>'Conto economico'!D8</f>
        <v>n+1 
(1° anno PSR)</v>
      </c>
      <c r="E46" s="422" t="str">
        <f>'Conto economico'!E8</f>
        <v>n+2</v>
      </c>
      <c r="F46" s="422" t="str">
        <f>'Conto economico'!F8</f>
        <v>n+3</v>
      </c>
      <c r="G46" s="422" t="str">
        <f>'Conto economico'!G8</f>
        <v>n+4</v>
      </c>
      <c r="H46" s="422" t="str">
        <f>'Conto economico'!H8</f>
        <v>n+5</v>
      </c>
      <c r="I46" s="422" t="str">
        <f>'Conto economico'!I8</f>
        <v>n+6</v>
      </c>
      <c r="J46" s="422" t="str">
        <f>'Conto economico'!J8</f>
        <v>1° anno dopo l'attuazione</v>
      </c>
      <c r="K46" s="423" t="s">
        <v>30</v>
      </c>
      <c r="L46" s="424" t="s">
        <v>128</v>
      </c>
      <c r="M46" s="425"/>
      <c r="N46" s="425"/>
    </row>
    <row r="47" spans="1:16" outlineLevel="1" x14ac:dyDescent="0.25">
      <c r="A47" s="426" t="s">
        <v>174</v>
      </c>
      <c r="B47" s="427"/>
      <c r="C47" s="428"/>
      <c r="D47" s="429"/>
      <c r="E47" s="429"/>
      <c r="F47" s="429"/>
      <c r="G47" s="429"/>
      <c r="H47" s="429"/>
      <c r="I47" s="429"/>
      <c r="J47" s="429"/>
      <c r="K47" s="502"/>
      <c r="L47" s="432"/>
    </row>
    <row r="48" spans="1:16" outlineLevel="1" x14ac:dyDescent="0.25">
      <c r="A48" s="433" t="s">
        <v>175</v>
      </c>
      <c r="B48" s="434" t="s">
        <v>149</v>
      </c>
      <c r="C48" s="435">
        <v>0</v>
      </c>
      <c r="D48" s="449"/>
      <c r="E48" s="449"/>
      <c r="F48" s="449"/>
      <c r="G48" s="449"/>
      <c r="H48" s="449"/>
      <c r="I48" s="449"/>
      <c r="J48" s="449"/>
      <c r="K48" s="438"/>
      <c r="L48" s="451"/>
      <c r="M48" s="445"/>
      <c r="N48" s="445"/>
    </row>
    <row r="49" spans="1:18" outlineLevel="1" x14ac:dyDescent="0.25">
      <c r="A49" s="439" t="s">
        <v>170</v>
      </c>
      <c r="B49" s="440" t="s">
        <v>6</v>
      </c>
      <c r="C49" s="441"/>
      <c r="D49" s="442"/>
      <c r="E49" s="442"/>
      <c r="F49" s="442"/>
      <c r="G49" s="442"/>
      <c r="H49" s="442"/>
      <c r="I49" s="442"/>
      <c r="J49" s="442"/>
      <c r="K49" s="443"/>
      <c r="L49" s="451"/>
      <c r="M49" s="445"/>
      <c r="N49" s="445"/>
    </row>
    <row r="50" spans="1:18" outlineLevel="1" x14ac:dyDescent="0.25">
      <c r="A50" s="433" t="s">
        <v>171</v>
      </c>
      <c r="B50" s="434" t="s">
        <v>140</v>
      </c>
      <c r="C50" s="435"/>
      <c r="D50" s="449"/>
      <c r="E50" s="449"/>
      <c r="F50" s="449"/>
      <c r="G50" s="449"/>
      <c r="H50" s="449"/>
      <c r="I50" s="449"/>
      <c r="J50" s="449"/>
      <c r="K50" s="506"/>
      <c r="L50" s="451"/>
      <c r="M50" s="445"/>
      <c r="N50" s="445"/>
    </row>
    <row r="51" spans="1:18" outlineLevel="1" x14ac:dyDescent="0.25">
      <c r="A51" s="433"/>
      <c r="B51" s="434"/>
      <c r="C51" s="435"/>
      <c r="D51" s="449"/>
      <c r="E51" s="449"/>
      <c r="F51" s="449"/>
      <c r="G51" s="449"/>
      <c r="H51" s="449"/>
      <c r="I51" s="449"/>
      <c r="J51" s="449"/>
      <c r="K51" s="450"/>
      <c r="L51" s="451"/>
      <c r="M51" s="445"/>
      <c r="N51" s="445"/>
    </row>
    <row r="52" spans="1:18" outlineLevel="1" x14ac:dyDescent="0.25">
      <c r="A52" s="433" t="s">
        <v>163</v>
      </c>
      <c r="B52" s="434" t="s">
        <v>140</v>
      </c>
      <c r="C52" s="507"/>
      <c r="D52" s="436"/>
      <c r="E52" s="436"/>
      <c r="F52" s="436"/>
      <c r="G52" s="436"/>
      <c r="H52" s="436"/>
      <c r="I52" s="436"/>
      <c r="J52" s="436"/>
      <c r="K52" s="510"/>
      <c r="L52" s="451"/>
      <c r="M52" s="445"/>
      <c r="N52" s="445"/>
    </row>
    <row r="53" spans="1:18" outlineLevel="1" x14ac:dyDescent="0.25">
      <c r="A53" s="433" t="s">
        <v>172</v>
      </c>
      <c r="B53" s="434" t="s">
        <v>6</v>
      </c>
      <c r="C53" s="479"/>
      <c r="D53" s="508"/>
      <c r="E53" s="480"/>
      <c r="F53" s="480"/>
      <c r="G53" s="480"/>
      <c r="H53" s="480"/>
      <c r="I53" s="480"/>
      <c r="J53" s="480"/>
      <c r="K53" s="431"/>
      <c r="L53" s="488"/>
      <c r="M53" s="501"/>
      <c r="N53" s="406"/>
      <c r="O53" s="406"/>
      <c r="P53" s="406"/>
    </row>
    <row r="54" spans="1:18" ht="3.6" customHeight="1" outlineLevel="1" x14ac:dyDescent="0.25">
      <c r="A54" s="433"/>
      <c r="B54" s="434"/>
      <c r="C54" s="453"/>
      <c r="D54" s="454"/>
      <c r="E54" s="454"/>
      <c r="F54" s="454"/>
      <c r="G54" s="454"/>
      <c r="H54" s="454"/>
      <c r="I54" s="454"/>
      <c r="J54" s="454"/>
      <c r="L54" s="488"/>
      <c r="M54" s="501"/>
      <c r="N54" s="406"/>
      <c r="O54" s="406"/>
      <c r="P54" s="406"/>
    </row>
    <row r="55" spans="1:18" s="19" customFormat="1" outlineLevel="1" x14ac:dyDescent="0.25">
      <c r="A55" s="482" t="s">
        <v>164</v>
      </c>
      <c r="B55" s="483"/>
      <c r="C55" s="484">
        <f>C48*C52</f>
        <v>0</v>
      </c>
      <c r="D55" s="485">
        <f t="shared" ref="D55:J55" si="13">D48*D52</f>
        <v>0</v>
      </c>
      <c r="E55" s="485">
        <f t="shared" si="13"/>
        <v>0</v>
      </c>
      <c r="F55" s="485">
        <f t="shared" si="13"/>
        <v>0</v>
      </c>
      <c r="G55" s="485">
        <f t="shared" si="13"/>
        <v>0</v>
      </c>
      <c r="H55" s="485">
        <f t="shared" si="13"/>
        <v>0</v>
      </c>
      <c r="I55" s="485"/>
      <c r="J55" s="485">
        <f t="shared" si="13"/>
        <v>0</v>
      </c>
      <c r="K55" s="512"/>
      <c r="L55" s="488" t="s">
        <v>134</v>
      </c>
      <c r="M55" s="514"/>
      <c r="N55" s="406"/>
      <c r="O55" s="500"/>
      <c r="P55" s="500"/>
    </row>
    <row r="56" spans="1:18" s="19" customFormat="1" outlineLevel="1" x14ac:dyDescent="0.25">
      <c r="A56" s="489" t="s">
        <v>165</v>
      </c>
      <c r="B56" s="490"/>
      <c r="C56" s="491">
        <f>C48*C50</f>
        <v>0</v>
      </c>
      <c r="D56" s="492">
        <f t="shared" ref="D56:J56" si="14">D48*D50</f>
        <v>0</v>
      </c>
      <c r="E56" s="492">
        <f t="shared" si="14"/>
        <v>0</v>
      </c>
      <c r="F56" s="492">
        <f t="shared" si="14"/>
        <v>0</v>
      </c>
      <c r="G56" s="492">
        <f t="shared" si="14"/>
        <v>0</v>
      </c>
      <c r="H56" s="492">
        <f t="shared" si="14"/>
        <v>0</v>
      </c>
      <c r="I56" s="492"/>
      <c r="J56" s="492">
        <f t="shared" si="14"/>
        <v>0</v>
      </c>
      <c r="K56" s="512"/>
      <c r="L56" s="488" t="s">
        <v>134</v>
      </c>
      <c r="M56" s="518"/>
      <c r="N56" s="406"/>
      <c r="O56" s="500"/>
      <c r="P56" s="500"/>
    </row>
    <row r="57" spans="1:18" s="19" customFormat="1" ht="16.5" outlineLevel="1" thickBot="1" x14ac:dyDescent="0.3">
      <c r="A57" s="494" t="s">
        <v>256</v>
      </c>
      <c r="B57" s="495" t="s">
        <v>7</v>
      </c>
      <c r="C57" s="496">
        <f>C55-C56</f>
        <v>0</v>
      </c>
      <c r="D57" s="497">
        <f>D55-D56</f>
        <v>0</v>
      </c>
      <c r="E57" s="497">
        <f t="shared" ref="E57:J57" si="15">E55-E56</f>
        <v>0</v>
      </c>
      <c r="F57" s="497">
        <f t="shared" si="15"/>
        <v>0</v>
      </c>
      <c r="G57" s="497">
        <f t="shared" si="15"/>
        <v>0</v>
      </c>
      <c r="H57" s="497">
        <f t="shared" si="15"/>
        <v>0</v>
      </c>
      <c r="I57" s="497"/>
      <c r="J57" s="497">
        <f t="shared" si="15"/>
        <v>0</v>
      </c>
      <c r="K57" s="516"/>
      <c r="L57" s="488"/>
      <c r="M57" s="518"/>
      <c r="N57" s="406"/>
      <c r="O57" s="500"/>
      <c r="P57" s="500"/>
    </row>
    <row r="58" spans="1:18" ht="16.5" outlineLevel="1" thickTop="1" x14ac:dyDescent="0.25">
      <c r="A58" s="35"/>
      <c r="B58" s="500"/>
      <c r="C58" s="501"/>
      <c r="D58" s="501"/>
      <c r="E58" s="501"/>
      <c r="F58" s="501"/>
      <c r="G58" s="501"/>
      <c r="H58" s="501"/>
      <c r="I58" s="501"/>
      <c r="J58" s="501"/>
      <c r="K58" s="501"/>
      <c r="L58" s="501"/>
      <c r="R58" s="19"/>
    </row>
    <row r="59" spans="1:18" x14ac:dyDescent="0.25">
      <c r="R59" s="19"/>
    </row>
    <row r="60" spans="1:18" s="415" customFormat="1" x14ac:dyDescent="0.2">
      <c r="A60" s="55" t="s">
        <v>176</v>
      </c>
      <c r="B60" s="411"/>
      <c r="C60" s="411"/>
      <c r="D60" s="411"/>
      <c r="E60" s="411"/>
      <c r="F60" s="411"/>
      <c r="G60" s="411"/>
      <c r="H60" s="411"/>
      <c r="I60" s="411"/>
      <c r="J60" s="411"/>
      <c r="K60" s="411"/>
      <c r="L60" s="55"/>
      <c r="M60" s="412"/>
      <c r="N60" s="413"/>
      <c r="O60" s="414"/>
      <c r="P60" s="414"/>
    </row>
    <row r="61" spans="1:18" s="19" customFormat="1" ht="31.5" outlineLevel="1" x14ac:dyDescent="0.2">
      <c r="A61" s="519"/>
      <c r="B61" s="421" t="s">
        <v>71</v>
      </c>
      <c r="C61" s="422" t="s">
        <v>31</v>
      </c>
      <c r="D61" s="520" t="s">
        <v>131</v>
      </c>
      <c r="E61" s="520" t="s">
        <v>1</v>
      </c>
      <c r="F61" s="520" t="s">
        <v>2</v>
      </c>
      <c r="G61" s="520" t="s">
        <v>3</v>
      </c>
      <c r="H61" s="520" t="s">
        <v>4</v>
      </c>
      <c r="I61" s="521"/>
      <c r="J61" s="522" t="s">
        <v>5</v>
      </c>
      <c r="K61" s="423" t="s">
        <v>262</v>
      </c>
      <c r="L61" s="523" t="s">
        <v>133</v>
      </c>
      <c r="M61" s="29" t="s">
        <v>132</v>
      </c>
      <c r="N61" s="424" t="s">
        <v>128</v>
      </c>
      <c r="O61" s="425"/>
      <c r="P61" s="425"/>
    </row>
    <row r="62" spans="1:18" s="19" customFormat="1" ht="14.25" customHeight="1" outlineLevel="1" x14ac:dyDescent="0.2">
      <c r="A62" s="524" t="s">
        <v>177</v>
      </c>
      <c r="B62" s="525"/>
      <c r="C62" s="526"/>
      <c r="D62" s="526"/>
      <c r="E62" s="526"/>
      <c r="F62" s="526"/>
      <c r="G62" s="526"/>
      <c r="H62" s="526"/>
      <c r="I62" s="526"/>
      <c r="J62" s="527"/>
      <c r="K62" s="528" t="s">
        <v>134</v>
      </c>
      <c r="L62" s="529"/>
      <c r="M62" s="529"/>
      <c r="N62" s="530"/>
      <c r="O62" s="528"/>
      <c r="P62" s="528"/>
    </row>
    <row r="63" spans="1:18" s="19" customFormat="1" ht="4.5" customHeight="1" outlineLevel="1" x14ac:dyDescent="0.2">
      <c r="B63" s="490"/>
      <c r="C63" s="531"/>
      <c r="D63" s="531"/>
      <c r="E63" s="531"/>
      <c r="F63" s="531"/>
      <c r="G63" s="531"/>
      <c r="H63" s="531"/>
      <c r="I63" s="531"/>
      <c r="J63" s="27"/>
      <c r="L63" s="532"/>
      <c r="M63" s="532"/>
    </row>
    <row r="64" spans="1:18" s="19" customFormat="1" outlineLevel="1" x14ac:dyDescent="0.2">
      <c r="A64" s="19" t="s">
        <v>257</v>
      </c>
      <c r="B64" s="533">
        <v>0.15</v>
      </c>
      <c r="J64" s="21"/>
      <c r="L64" s="532" t="s">
        <v>135</v>
      </c>
      <c r="M64" s="532" t="s">
        <v>9</v>
      </c>
    </row>
    <row r="65" spans="1:16" s="19" customFormat="1" outlineLevel="1" x14ac:dyDescent="0.2">
      <c r="A65" s="531" t="s">
        <v>263</v>
      </c>
      <c r="B65" s="490"/>
      <c r="J65" s="21"/>
      <c r="L65" s="532"/>
      <c r="M65" s="532"/>
    </row>
    <row r="66" spans="1:16" s="19" customFormat="1" outlineLevel="1" x14ac:dyDescent="0.2">
      <c r="A66" s="534" t="s">
        <v>178</v>
      </c>
      <c r="B66" s="490" t="s">
        <v>146</v>
      </c>
      <c r="C66" s="535">
        <v>3000</v>
      </c>
      <c r="D66" s="535">
        <v>3500</v>
      </c>
      <c r="E66" s="535">
        <v>3500</v>
      </c>
      <c r="F66" s="535">
        <v>3500</v>
      </c>
      <c r="G66" s="535">
        <v>3500</v>
      </c>
      <c r="H66" s="535">
        <v>3500</v>
      </c>
      <c r="I66" s="535"/>
      <c r="J66" s="536">
        <v>3500</v>
      </c>
      <c r="L66" s="532"/>
      <c r="M66" s="532"/>
    </row>
    <row r="67" spans="1:16" s="19" customFormat="1" outlineLevel="1" x14ac:dyDescent="0.2">
      <c r="A67" s="534" t="s">
        <v>179</v>
      </c>
      <c r="B67" s="490" t="s">
        <v>146</v>
      </c>
      <c r="C67" s="535"/>
      <c r="D67" s="535"/>
      <c r="E67" s="535"/>
      <c r="F67" s="535"/>
      <c r="G67" s="535"/>
      <c r="H67" s="535"/>
      <c r="I67" s="535"/>
      <c r="J67" s="536"/>
      <c r="K67" s="500"/>
      <c r="L67" s="532"/>
      <c r="M67" s="532"/>
    </row>
    <row r="68" spans="1:16" s="19" customFormat="1" ht="3" customHeight="1" outlineLevel="1" x14ac:dyDescent="0.2">
      <c r="B68" s="490"/>
      <c r="J68" s="21"/>
      <c r="K68" s="500"/>
      <c r="L68" s="532"/>
      <c r="M68" s="532"/>
    </row>
    <row r="69" spans="1:16" s="19" customFormat="1" outlineLevel="1" x14ac:dyDescent="0.2">
      <c r="A69" s="531" t="s">
        <v>180</v>
      </c>
      <c r="B69" s="490"/>
      <c r="J69" s="21"/>
      <c r="L69" s="532"/>
      <c r="M69" s="532"/>
    </row>
    <row r="70" spans="1:16" s="19" customFormat="1" outlineLevel="1" x14ac:dyDescent="0.2">
      <c r="A70" s="534" t="s">
        <v>178</v>
      </c>
      <c r="B70" s="490" t="s">
        <v>147</v>
      </c>
      <c r="C70" s="537">
        <v>0.15</v>
      </c>
      <c r="D70" s="537">
        <v>0.3</v>
      </c>
      <c r="E70" s="537">
        <v>0.3</v>
      </c>
      <c r="F70" s="537">
        <v>0.3</v>
      </c>
      <c r="G70" s="537">
        <v>0.3</v>
      </c>
      <c r="H70" s="537">
        <v>0.4</v>
      </c>
      <c r="I70" s="537"/>
      <c r="J70" s="538">
        <v>0.4</v>
      </c>
      <c r="L70" s="532"/>
      <c r="M70" s="532"/>
    </row>
    <row r="71" spans="1:16" s="19" customFormat="1" outlineLevel="1" x14ac:dyDescent="0.2">
      <c r="A71" s="534" t="s">
        <v>179</v>
      </c>
      <c r="B71" s="490" t="s">
        <v>147</v>
      </c>
      <c r="C71" s="537"/>
      <c r="D71" s="537"/>
      <c r="E71" s="537"/>
      <c r="F71" s="537"/>
      <c r="G71" s="537"/>
      <c r="H71" s="537"/>
      <c r="I71" s="537"/>
      <c r="J71" s="538"/>
      <c r="L71" s="532"/>
      <c r="M71" s="532"/>
    </row>
    <row r="72" spans="1:16" s="19" customFormat="1" ht="4.5" customHeight="1" outlineLevel="1" x14ac:dyDescent="0.2">
      <c r="B72" s="490"/>
      <c r="C72" s="531"/>
      <c r="D72" s="531"/>
      <c r="E72" s="531"/>
      <c r="F72" s="531"/>
      <c r="G72" s="531"/>
      <c r="H72" s="531"/>
      <c r="I72" s="531"/>
      <c r="J72" s="27"/>
      <c r="L72" s="532"/>
      <c r="M72" s="532"/>
    </row>
    <row r="73" spans="1:16" s="19" customFormat="1" ht="14.1" customHeight="1" outlineLevel="1" x14ac:dyDescent="0.2">
      <c r="A73" s="416" t="s">
        <v>86</v>
      </c>
      <c r="B73" s="539" t="s">
        <v>148</v>
      </c>
      <c r="C73" s="528">
        <f t="shared" ref="C73:J73" si="16">IFERROR(C75*12*C76,"N/A")</f>
        <v>0</v>
      </c>
      <c r="D73" s="528">
        <f t="shared" si="16"/>
        <v>600</v>
      </c>
      <c r="E73" s="528">
        <f t="shared" si="16"/>
        <v>600</v>
      </c>
      <c r="F73" s="528">
        <f t="shared" si="16"/>
        <v>600</v>
      </c>
      <c r="G73" s="528">
        <f t="shared" si="16"/>
        <v>600</v>
      </c>
      <c r="H73" s="528">
        <f t="shared" si="16"/>
        <v>600</v>
      </c>
      <c r="I73" s="528"/>
      <c r="J73" s="540">
        <f t="shared" si="16"/>
        <v>600</v>
      </c>
      <c r="K73" s="528" t="s">
        <v>134</v>
      </c>
      <c r="L73" s="541"/>
      <c r="M73" s="541"/>
      <c r="N73" s="530"/>
      <c r="O73" s="528"/>
      <c r="P73" s="528"/>
    </row>
    <row r="74" spans="1:16" s="19" customFormat="1" ht="4.5" customHeight="1" outlineLevel="1" x14ac:dyDescent="0.2">
      <c r="B74" s="490"/>
      <c r="C74" s="531"/>
      <c r="D74" s="531"/>
      <c r="E74" s="531"/>
      <c r="F74" s="531"/>
      <c r="G74" s="531"/>
      <c r="H74" s="531"/>
      <c r="I74" s="531"/>
      <c r="J74" s="27"/>
      <c r="L74" s="532"/>
      <c r="M74" s="532"/>
    </row>
    <row r="75" spans="1:16" s="19" customFormat="1" outlineLevel="1" x14ac:dyDescent="0.2">
      <c r="A75" s="12" t="s">
        <v>181</v>
      </c>
      <c r="B75" s="490" t="s">
        <v>146</v>
      </c>
      <c r="C75" s="535"/>
      <c r="D75" s="535">
        <v>10000</v>
      </c>
      <c r="E75" s="535">
        <v>10000</v>
      </c>
      <c r="F75" s="535">
        <v>10000</v>
      </c>
      <c r="G75" s="535">
        <v>10000</v>
      </c>
      <c r="H75" s="535">
        <v>10000</v>
      </c>
      <c r="I75" s="535"/>
      <c r="J75" s="536">
        <v>10000</v>
      </c>
      <c r="L75" s="532"/>
      <c r="M75" s="532"/>
    </row>
    <row r="76" spans="1:16" s="19" customFormat="1" outlineLevel="1" x14ac:dyDescent="0.2">
      <c r="A76" s="534" t="s">
        <v>147</v>
      </c>
      <c r="B76" s="490" t="s">
        <v>147</v>
      </c>
      <c r="C76" s="542"/>
      <c r="D76" s="542">
        <v>5.0000000000000001E-3</v>
      </c>
      <c r="E76" s="542">
        <v>5.0000000000000001E-3</v>
      </c>
      <c r="F76" s="542">
        <v>5.0000000000000001E-3</v>
      </c>
      <c r="G76" s="542">
        <v>5.0000000000000001E-3</v>
      </c>
      <c r="H76" s="542">
        <v>5.0000000000000001E-3</v>
      </c>
      <c r="I76" s="542"/>
      <c r="J76" s="543">
        <v>5.0000000000000001E-3</v>
      </c>
      <c r="K76" s="19" t="s">
        <v>136</v>
      </c>
      <c r="L76" s="532"/>
      <c r="M76" s="532"/>
    </row>
    <row r="77" spans="1:16" s="19" customFormat="1" ht="4.5" customHeight="1" outlineLevel="1" x14ac:dyDescent="0.2">
      <c r="B77" s="490"/>
      <c r="C77" s="531"/>
      <c r="D77" s="531"/>
      <c r="E77" s="531"/>
      <c r="F77" s="531"/>
      <c r="G77" s="531"/>
      <c r="H77" s="531"/>
      <c r="I77" s="531"/>
      <c r="J77" s="27"/>
      <c r="L77" s="532"/>
      <c r="M77" s="532"/>
    </row>
    <row r="78" spans="1:16" s="19" customFormat="1" ht="14.25" customHeight="1" outlineLevel="1" x14ac:dyDescent="0.2">
      <c r="A78" s="416" t="s">
        <v>182</v>
      </c>
      <c r="B78" s="539"/>
      <c r="C78" s="528">
        <f>SUM(C79:C81)</f>
        <v>0</v>
      </c>
      <c r="D78" s="528">
        <f t="shared" ref="D78:J78" si="17">SUM(D79:D81)</f>
        <v>0</v>
      </c>
      <c r="E78" s="528">
        <f t="shared" si="17"/>
        <v>0</v>
      </c>
      <c r="F78" s="528">
        <f t="shared" si="17"/>
        <v>0</v>
      </c>
      <c r="G78" s="528">
        <f t="shared" si="17"/>
        <v>0</v>
      </c>
      <c r="H78" s="528">
        <f t="shared" si="17"/>
        <v>0</v>
      </c>
      <c r="I78" s="528"/>
      <c r="J78" s="528">
        <f t="shared" si="17"/>
        <v>0</v>
      </c>
      <c r="K78" s="528" t="s">
        <v>134</v>
      </c>
      <c r="L78" s="541"/>
      <c r="M78" s="541" t="s">
        <v>138</v>
      </c>
      <c r="N78" s="530"/>
      <c r="O78" s="528"/>
      <c r="P78" s="528"/>
    </row>
    <row r="79" spans="1:16" s="19" customFormat="1" ht="4.5" customHeight="1" outlineLevel="1" x14ac:dyDescent="0.2">
      <c r="B79" s="490"/>
      <c r="C79" s="531"/>
      <c r="D79" s="531"/>
      <c r="E79" s="531"/>
      <c r="F79" s="531"/>
      <c r="G79" s="531"/>
      <c r="H79" s="531"/>
      <c r="I79" s="531"/>
      <c r="J79" s="27"/>
      <c r="L79" s="532"/>
      <c r="M79" s="532"/>
    </row>
    <row r="80" spans="1:16" outlineLevel="1" x14ac:dyDescent="0.25">
      <c r="A80" s="12" t="s">
        <v>183</v>
      </c>
      <c r="B80" s="434" t="s">
        <v>7</v>
      </c>
      <c r="C80" s="544">
        <f>IFERROR('Fonti di finanziamento'!E171,"N/A")</f>
        <v>0</v>
      </c>
      <c r="D80" s="544">
        <f>IFERROR('Fonti di finanziamento'!F171,"N/A")</f>
        <v>0</v>
      </c>
      <c r="E80" s="544">
        <f>IFERROR('Fonti di finanziamento'!G171,"N/A")</f>
        <v>0</v>
      </c>
      <c r="F80" s="544">
        <f>IFERROR('Fonti di finanziamento'!H171,"N/A")</f>
        <v>0</v>
      </c>
      <c r="G80" s="544">
        <f>IFERROR('Fonti di finanziamento'!I171,"N/A")</f>
        <v>0</v>
      </c>
      <c r="H80" s="544">
        <f>IFERROR('Fonti di finanziamento'!J171,"N/A")</f>
        <v>0</v>
      </c>
      <c r="I80" s="544"/>
      <c r="J80" s="545">
        <f>IFERROR('Fonti di finanziamento'!L171,"N/A")</f>
        <v>0</v>
      </c>
      <c r="K80" s="546" t="s">
        <v>139</v>
      </c>
      <c r="L80" s="547"/>
      <c r="M80" s="547"/>
    </row>
    <row r="81" spans="1:16" outlineLevel="1" x14ac:dyDescent="0.25">
      <c r="A81" s="12" t="s">
        <v>184</v>
      </c>
      <c r="B81" s="434" t="s">
        <v>7</v>
      </c>
      <c r="C81" s="535"/>
      <c r="D81" s="535"/>
      <c r="E81" s="535"/>
      <c r="F81" s="535"/>
      <c r="G81" s="535"/>
      <c r="H81" s="535"/>
      <c r="I81" s="535"/>
      <c r="J81" s="536"/>
      <c r="K81" s="546"/>
      <c r="L81" s="547"/>
      <c r="M81" s="547"/>
    </row>
    <row r="82" spans="1:16" s="19" customFormat="1" ht="4.5" customHeight="1" outlineLevel="1" x14ac:dyDescent="0.2">
      <c r="B82" s="490"/>
      <c r="C82" s="531"/>
      <c r="D82" s="531"/>
      <c r="E82" s="531"/>
      <c r="F82" s="531"/>
      <c r="G82" s="531"/>
      <c r="H82" s="531"/>
      <c r="I82" s="531"/>
      <c r="J82" s="27"/>
      <c r="L82" s="532"/>
      <c r="M82" s="532"/>
    </row>
    <row r="83" spans="1:16" s="19" customFormat="1" ht="14.25" customHeight="1" outlineLevel="1" x14ac:dyDescent="0.2">
      <c r="A83" s="416" t="s">
        <v>87</v>
      </c>
      <c r="B83" s="539" t="s">
        <v>7</v>
      </c>
      <c r="C83" s="528">
        <f t="shared" ref="C83:J83" si="18">IFERROR(C85*C86,"N/A")</f>
        <v>0</v>
      </c>
      <c r="D83" s="528">
        <f t="shared" si="18"/>
        <v>1000</v>
      </c>
      <c r="E83" s="528">
        <f t="shared" si="18"/>
        <v>1000</v>
      </c>
      <c r="F83" s="528">
        <f t="shared" si="18"/>
        <v>1000</v>
      </c>
      <c r="G83" s="528">
        <f t="shared" si="18"/>
        <v>1000</v>
      </c>
      <c r="H83" s="528">
        <f t="shared" si="18"/>
        <v>1000</v>
      </c>
      <c r="I83" s="528"/>
      <c r="J83" s="540">
        <f t="shared" si="18"/>
        <v>1000</v>
      </c>
      <c r="K83" s="528" t="s">
        <v>134</v>
      </c>
      <c r="L83" s="541"/>
      <c r="M83" s="541"/>
      <c r="N83" s="530"/>
      <c r="O83" s="528"/>
      <c r="P83" s="528"/>
    </row>
    <row r="84" spans="1:16" s="19" customFormat="1" ht="4.5" customHeight="1" outlineLevel="1" x14ac:dyDescent="0.2">
      <c r="B84" s="490"/>
      <c r="C84" s="531"/>
      <c r="D84" s="531"/>
      <c r="E84" s="531"/>
      <c r="F84" s="531"/>
      <c r="G84" s="531"/>
      <c r="H84" s="531"/>
      <c r="I84" s="531"/>
      <c r="J84" s="27"/>
      <c r="L84" s="532"/>
      <c r="M84" s="532"/>
    </row>
    <row r="85" spans="1:16" s="19" customFormat="1" outlineLevel="1" x14ac:dyDescent="0.2">
      <c r="A85" s="12" t="s">
        <v>185</v>
      </c>
      <c r="B85" s="490" t="s">
        <v>7</v>
      </c>
      <c r="C85" s="535"/>
      <c r="D85" s="535">
        <v>10000</v>
      </c>
      <c r="E85" s="535">
        <v>10000</v>
      </c>
      <c r="F85" s="535">
        <v>10000</v>
      </c>
      <c r="G85" s="535">
        <v>10000</v>
      </c>
      <c r="H85" s="535">
        <v>10000</v>
      </c>
      <c r="I85" s="535"/>
      <c r="J85" s="536">
        <v>10000</v>
      </c>
      <c r="L85" s="532"/>
      <c r="M85" s="532"/>
    </row>
    <row r="86" spans="1:16" s="19" customFormat="1" outlineLevel="1" x14ac:dyDescent="0.2">
      <c r="A86" s="534" t="s">
        <v>147</v>
      </c>
      <c r="B86" s="490" t="s">
        <v>147</v>
      </c>
      <c r="C86" s="537"/>
      <c r="D86" s="537">
        <v>0.1</v>
      </c>
      <c r="E86" s="537">
        <v>0.1</v>
      </c>
      <c r="F86" s="537">
        <v>0.1</v>
      </c>
      <c r="G86" s="537">
        <v>0.1</v>
      </c>
      <c r="H86" s="537">
        <v>0.1</v>
      </c>
      <c r="I86" s="537"/>
      <c r="J86" s="538">
        <v>0.1</v>
      </c>
      <c r="K86" s="19" t="s">
        <v>136</v>
      </c>
      <c r="L86" s="532"/>
      <c r="M86" s="532"/>
    </row>
    <row r="87" spans="1:16" s="19" customFormat="1" ht="4.5" customHeight="1" outlineLevel="1" x14ac:dyDescent="0.2">
      <c r="B87" s="490"/>
      <c r="C87" s="531"/>
      <c r="D87" s="531"/>
      <c r="E87" s="531"/>
      <c r="F87" s="531"/>
      <c r="G87" s="531"/>
      <c r="H87" s="531"/>
      <c r="I87" s="531"/>
      <c r="J87" s="27"/>
      <c r="L87" s="532"/>
      <c r="M87" s="532"/>
    </row>
    <row r="88" spans="1:16" s="19" customFormat="1" ht="14.25" customHeight="1" outlineLevel="1" x14ac:dyDescent="0.2">
      <c r="A88" s="416" t="s">
        <v>309</v>
      </c>
      <c r="B88" s="539" t="s">
        <v>7</v>
      </c>
      <c r="C88" s="528">
        <f t="shared" ref="C88:J88" si="19">IFERROR(C90*C91,"N/A")</f>
        <v>0</v>
      </c>
      <c r="D88" s="528">
        <f t="shared" si="19"/>
        <v>1000</v>
      </c>
      <c r="E88" s="528">
        <f t="shared" si="19"/>
        <v>1000</v>
      </c>
      <c r="F88" s="528">
        <f t="shared" si="19"/>
        <v>1000</v>
      </c>
      <c r="G88" s="528">
        <f t="shared" si="19"/>
        <v>1000</v>
      </c>
      <c r="H88" s="528">
        <f t="shared" si="19"/>
        <v>1000</v>
      </c>
      <c r="I88" s="528"/>
      <c r="J88" s="540">
        <f t="shared" si="19"/>
        <v>1000</v>
      </c>
      <c r="K88" s="528" t="s">
        <v>134</v>
      </c>
      <c r="L88" s="541"/>
      <c r="M88" s="541"/>
      <c r="N88" s="530"/>
      <c r="O88" s="528"/>
      <c r="P88" s="528"/>
    </row>
    <row r="89" spans="1:16" s="19" customFormat="1" ht="4.5" customHeight="1" outlineLevel="1" x14ac:dyDescent="0.2">
      <c r="B89" s="490"/>
      <c r="C89" s="531"/>
      <c r="D89" s="531"/>
      <c r="E89" s="531"/>
      <c r="F89" s="531"/>
      <c r="G89" s="531"/>
      <c r="H89" s="531"/>
      <c r="I89" s="531"/>
      <c r="J89" s="27"/>
      <c r="L89" s="532"/>
      <c r="M89" s="532"/>
    </row>
    <row r="90" spans="1:16" s="19" customFormat="1" outlineLevel="1" x14ac:dyDescent="0.2">
      <c r="A90" s="12" t="s">
        <v>185</v>
      </c>
      <c r="B90" s="490" t="s">
        <v>7</v>
      </c>
      <c r="C90" s="535"/>
      <c r="D90" s="535">
        <v>10000</v>
      </c>
      <c r="E90" s="535">
        <v>10000</v>
      </c>
      <c r="F90" s="535">
        <v>10000</v>
      </c>
      <c r="G90" s="535">
        <v>10000</v>
      </c>
      <c r="H90" s="535">
        <v>10000</v>
      </c>
      <c r="I90" s="535"/>
      <c r="J90" s="536">
        <v>10000</v>
      </c>
      <c r="L90" s="532"/>
      <c r="M90" s="532"/>
    </row>
    <row r="91" spans="1:16" s="19" customFormat="1" outlineLevel="1" x14ac:dyDescent="0.2">
      <c r="A91" s="534" t="s">
        <v>147</v>
      </c>
      <c r="B91" s="490" t="s">
        <v>147</v>
      </c>
      <c r="C91" s="537"/>
      <c r="D91" s="537">
        <v>0.1</v>
      </c>
      <c r="E91" s="537">
        <v>0.1</v>
      </c>
      <c r="F91" s="537">
        <v>0.1</v>
      </c>
      <c r="G91" s="537">
        <v>0.1</v>
      </c>
      <c r="H91" s="537">
        <v>0.1</v>
      </c>
      <c r="I91" s="537"/>
      <c r="J91" s="538">
        <v>0.1</v>
      </c>
      <c r="K91" s="19" t="s">
        <v>136</v>
      </c>
      <c r="L91" s="532"/>
      <c r="M91" s="532"/>
    </row>
    <row r="92" spans="1:16" s="19" customFormat="1" ht="4.5" customHeight="1" outlineLevel="1" x14ac:dyDescent="0.2">
      <c r="B92" s="490"/>
      <c r="C92" s="531"/>
      <c r="D92" s="531"/>
      <c r="E92" s="531"/>
      <c r="F92" s="531"/>
      <c r="G92" s="531"/>
      <c r="H92" s="531"/>
      <c r="I92" s="531"/>
      <c r="J92" s="27"/>
      <c r="L92" s="532"/>
      <c r="M92" s="532"/>
    </row>
    <row r="93" spans="1:16" s="19" customFormat="1" ht="14.25" customHeight="1" outlineLevel="1" x14ac:dyDescent="0.2">
      <c r="A93" s="416" t="s">
        <v>91</v>
      </c>
      <c r="B93" s="539"/>
      <c r="C93" s="548">
        <f>SUM(C95:C96)</f>
        <v>0</v>
      </c>
      <c r="D93" s="548">
        <f t="shared" ref="D93:J93" si="20">SUM(D95:D96)</f>
        <v>0</v>
      </c>
      <c r="E93" s="548">
        <f t="shared" si="20"/>
        <v>0</v>
      </c>
      <c r="F93" s="548">
        <f t="shared" si="20"/>
        <v>0</v>
      </c>
      <c r="G93" s="548">
        <f t="shared" si="20"/>
        <v>0</v>
      </c>
      <c r="H93" s="548">
        <f t="shared" si="20"/>
        <v>0</v>
      </c>
      <c r="I93" s="548"/>
      <c r="J93" s="548">
        <f t="shared" si="20"/>
        <v>0</v>
      </c>
      <c r="K93" s="528" t="s">
        <v>134</v>
      </c>
      <c r="L93" s="541"/>
      <c r="M93" s="541" t="s">
        <v>138</v>
      </c>
      <c r="N93" s="530"/>
      <c r="O93" s="528"/>
      <c r="P93" s="528"/>
    </row>
    <row r="94" spans="1:16" s="19" customFormat="1" ht="4.5" customHeight="1" outlineLevel="1" x14ac:dyDescent="0.2">
      <c r="B94" s="490"/>
      <c r="C94" s="531"/>
      <c r="D94" s="531"/>
      <c r="E94" s="531"/>
      <c r="F94" s="531"/>
      <c r="G94" s="531"/>
      <c r="H94" s="531"/>
      <c r="I94" s="531"/>
      <c r="J94" s="27"/>
      <c r="L94" s="532"/>
      <c r="M94" s="532"/>
    </row>
    <row r="95" spans="1:16" outlineLevel="1" x14ac:dyDescent="0.25">
      <c r="A95" s="531"/>
      <c r="B95" s="434" t="s">
        <v>7</v>
      </c>
      <c r="C95" s="549"/>
      <c r="D95" s="549"/>
      <c r="E95" s="549"/>
      <c r="F95" s="549"/>
      <c r="G95" s="549"/>
      <c r="H95" s="549"/>
      <c r="I95" s="549"/>
      <c r="J95" s="550"/>
      <c r="K95" s="546"/>
      <c r="L95" s="547"/>
      <c r="M95" s="547"/>
    </row>
    <row r="96" spans="1:16" outlineLevel="1" x14ac:dyDescent="0.25">
      <c r="A96" s="531"/>
      <c r="B96" s="434" t="s">
        <v>7</v>
      </c>
      <c r="C96" s="549"/>
      <c r="D96" s="549"/>
      <c r="E96" s="549"/>
      <c r="F96" s="549"/>
      <c r="G96" s="549"/>
      <c r="H96" s="549"/>
      <c r="I96" s="549"/>
      <c r="J96" s="550"/>
      <c r="K96" s="546"/>
      <c r="L96" s="547"/>
      <c r="M96" s="547"/>
    </row>
    <row r="97" spans="1:16" s="19" customFormat="1" ht="4.5" customHeight="1" outlineLevel="1" x14ac:dyDescent="0.2">
      <c r="B97" s="490"/>
      <c r="C97" s="531"/>
      <c r="D97" s="531"/>
      <c r="E97" s="531"/>
      <c r="F97" s="531"/>
      <c r="G97" s="531"/>
      <c r="H97" s="531"/>
      <c r="I97" s="531"/>
      <c r="J97" s="27"/>
      <c r="L97" s="532"/>
      <c r="M97" s="532"/>
    </row>
    <row r="98" spans="1:16" s="19" customFormat="1" ht="14.25" customHeight="1" outlineLevel="1" x14ac:dyDescent="0.2">
      <c r="A98" s="416" t="s">
        <v>89</v>
      </c>
      <c r="B98" s="539" t="s">
        <v>149</v>
      </c>
      <c r="C98" s="528">
        <f>IFERROR(C100*C99,"N/A")</f>
        <v>0</v>
      </c>
      <c r="D98" s="528">
        <f>IFERROR(D100*D99,"N/A")</f>
        <v>600</v>
      </c>
      <c r="E98" s="528">
        <f t="shared" ref="E98:J98" si="21">IFERROR(E100*E99,"N/A")</f>
        <v>600</v>
      </c>
      <c r="F98" s="528">
        <f t="shared" si="21"/>
        <v>600</v>
      </c>
      <c r="G98" s="528">
        <f t="shared" si="21"/>
        <v>600</v>
      </c>
      <c r="H98" s="528">
        <f t="shared" si="21"/>
        <v>600</v>
      </c>
      <c r="I98" s="528"/>
      <c r="J98" s="540">
        <f t="shared" si="21"/>
        <v>600</v>
      </c>
      <c r="K98" s="528" t="s">
        <v>134</v>
      </c>
      <c r="L98" s="541"/>
      <c r="M98" s="541"/>
      <c r="N98" s="530"/>
      <c r="O98" s="528"/>
      <c r="P98" s="528"/>
    </row>
    <row r="99" spans="1:16" s="19" customFormat="1" outlineLevel="1" x14ac:dyDescent="0.2">
      <c r="A99" s="12" t="s">
        <v>185</v>
      </c>
      <c r="B99" s="539" t="s">
        <v>149</v>
      </c>
      <c r="C99" s="535"/>
      <c r="D99" s="535">
        <f t="shared" ref="D99:J99" si="22">12*500</f>
        <v>6000</v>
      </c>
      <c r="E99" s="535">
        <f t="shared" si="22"/>
        <v>6000</v>
      </c>
      <c r="F99" s="535">
        <f t="shared" si="22"/>
        <v>6000</v>
      </c>
      <c r="G99" s="535">
        <f t="shared" si="22"/>
        <v>6000</v>
      </c>
      <c r="H99" s="535">
        <f t="shared" si="22"/>
        <v>6000</v>
      </c>
      <c r="I99" s="535"/>
      <c r="J99" s="536">
        <f t="shared" si="22"/>
        <v>6000</v>
      </c>
      <c r="L99" s="532"/>
      <c r="M99" s="532"/>
    </row>
    <row r="100" spans="1:16" s="19" customFormat="1" outlineLevel="1" x14ac:dyDescent="0.2">
      <c r="A100" s="534" t="s">
        <v>147</v>
      </c>
      <c r="B100" s="490" t="s">
        <v>147</v>
      </c>
      <c r="C100" s="537"/>
      <c r="D100" s="537">
        <v>0.1</v>
      </c>
      <c r="E100" s="537">
        <v>0.1</v>
      </c>
      <c r="F100" s="537">
        <v>0.1</v>
      </c>
      <c r="G100" s="537">
        <v>0.1</v>
      </c>
      <c r="H100" s="537">
        <v>0.1</v>
      </c>
      <c r="I100" s="537"/>
      <c r="J100" s="538">
        <v>0.1</v>
      </c>
      <c r="K100" s="19" t="s">
        <v>136</v>
      </c>
      <c r="L100" s="532"/>
      <c r="M100" s="532"/>
    </row>
    <row r="101" spans="1:16" s="19" customFormat="1" ht="4.5" customHeight="1" outlineLevel="1" x14ac:dyDescent="0.2">
      <c r="B101" s="490"/>
      <c r="C101" s="531"/>
      <c r="D101" s="531"/>
      <c r="E101" s="531"/>
      <c r="F101" s="531"/>
      <c r="G101" s="531"/>
      <c r="H101" s="531"/>
      <c r="I101" s="531"/>
      <c r="J101" s="27"/>
      <c r="L101" s="532"/>
      <c r="M101" s="532"/>
    </row>
    <row r="102" spans="1:16" s="19" customFormat="1" ht="14.25" customHeight="1" outlineLevel="1" x14ac:dyDescent="0.2">
      <c r="A102" s="416" t="s">
        <v>186</v>
      </c>
      <c r="B102" s="539" t="s">
        <v>7</v>
      </c>
      <c r="C102" s="548">
        <f>C104+C108+C111+C113</f>
        <v>0</v>
      </c>
      <c r="D102" s="548">
        <f>D104+D108+D111+D113</f>
        <v>2550</v>
      </c>
      <c r="E102" s="548">
        <f t="shared" ref="E102:J102" si="23">E104+E108+E111+E113</f>
        <v>2550</v>
      </c>
      <c r="F102" s="548">
        <f t="shared" si="23"/>
        <v>2250</v>
      </c>
      <c r="G102" s="548">
        <f t="shared" si="23"/>
        <v>2100</v>
      </c>
      <c r="H102" s="548">
        <f t="shared" si="23"/>
        <v>2150</v>
      </c>
      <c r="I102" s="548"/>
      <c r="J102" s="548">
        <f t="shared" si="23"/>
        <v>2150</v>
      </c>
      <c r="K102" s="528" t="s">
        <v>134</v>
      </c>
      <c r="L102" s="541"/>
      <c r="M102" s="541"/>
      <c r="N102" s="530"/>
      <c r="O102" s="528"/>
      <c r="P102" s="528"/>
    </row>
    <row r="103" spans="1:16" s="19" customFormat="1" ht="4.5" customHeight="1" outlineLevel="1" x14ac:dyDescent="0.2">
      <c r="B103" s="490"/>
      <c r="C103" s="531"/>
      <c r="D103" s="531"/>
      <c r="E103" s="531"/>
      <c r="F103" s="531"/>
      <c r="G103" s="531"/>
      <c r="H103" s="531"/>
      <c r="I103" s="531"/>
      <c r="J103" s="27"/>
      <c r="L103" s="532"/>
      <c r="M103" s="532"/>
    </row>
    <row r="104" spans="1:16" s="19" customFormat="1" outlineLevel="1" x14ac:dyDescent="0.2">
      <c r="A104" s="551" t="s">
        <v>187</v>
      </c>
      <c r="B104" s="490"/>
      <c r="C104" s="552">
        <f>C105*C106</f>
        <v>0</v>
      </c>
      <c r="D104" s="552">
        <f t="shared" ref="D104:J104" si="24">D105*D106</f>
        <v>150</v>
      </c>
      <c r="E104" s="552">
        <f t="shared" si="24"/>
        <v>150</v>
      </c>
      <c r="F104" s="552">
        <f t="shared" si="24"/>
        <v>150</v>
      </c>
      <c r="G104" s="552">
        <f t="shared" si="24"/>
        <v>150</v>
      </c>
      <c r="H104" s="552">
        <f t="shared" si="24"/>
        <v>200</v>
      </c>
      <c r="I104" s="552"/>
      <c r="J104" s="553">
        <f t="shared" si="24"/>
        <v>200</v>
      </c>
      <c r="L104" s="532"/>
      <c r="M104" s="532"/>
    </row>
    <row r="105" spans="1:16" s="19" customFormat="1" outlineLevel="1" x14ac:dyDescent="0.2">
      <c r="A105" s="534" t="s">
        <v>188</v>
      </c>
      <c r="B105" s="490" t="s">
        <v>264</v>
      </c>
      <c r="C105" s="535"/>
      <c r="D105" s="535">
        <v>500</v>
      </c>
      <c r="E105" s="535">
        <v>500</v>
      </c>
      <c r="F105" s="535">
        <v>500</v>
      </c>
      <c r="G105" s="535">
        <v>500</v>
      </c>
      <c r="H105" s="535">
        <v>500</v>
      </c>
      <c r="I105" s="535"/>
      <c r="J105" s="536">
        <v>500</v>
      </c>
      <c r="L105" s="532"/>
      <c r="M105" s="532"/>
    </row>
    <row r="106" spans="1:16" s="19" customFormat="1" outlineLevel="1" x14ac:dyDescent="0.2">
      <c r="A106" s="534" t="s">
        <v>189</v>
      </c>
      <c r="B106" s="490" t="s">
        <v>150</v>
      </c>
      <c r="C106" s="554"/>
      <c r="D106" s="554">
        <f t="shared" ref="D106:J106" si="25">SUM(D70:D71)</f>
        <v>0.3</v>
      </c>
      <c r="E106" s="554">
        <f t="shared" si="25"/>
        <v>0.3</v>
      </c>
      <c r="F106" s="554">
        <f t="shared" si="25"/>
        <v>0.3</v>
      </c>
      <c r="G106" s="554">
        <f t="shared" si="25"/>
        <v>0.3</v>
      </c>
      <c r="H106" s="554">
        <f t="shared" si="25"/>
        <v>0.4</v>
      </c>
      <c r="I106" s="554"/>
      <c r="J106" s="555">
        <f t="shared" si="25"/>
        <v>0.4</v>
      </c>
      <c r="L106" s="532"/>
      <c r="M106" s="532"/>
    </row>
    <row r="107" spans="1:16" s="19" customFormat="1" outlineLevel="1" x14ac:dyDescent="0.2">
      <c r="B107" s="490"/>
      <c r="C107" s="552"/>
      <c r="D107" s="552"/>
      <c r="E107" s="552"/>
      <c r="F107" s="552"/>
      <c r="G107" s="552"/>
      <c r="H107" s="552"/>
      <c r="I107" s="552"/>
      <c r="J107" s="553"/>
      <c r="L107" s="532"/>
      <c r="M107" s="532"/>
    </row>
    <row r="108" spans="1:16" s="19" customFormat="1" outlineLevel="1" x14ac:dyDescent="0.2">
      <c r="A108" s="551" t="s">
        <v>190</v>
      </c>
      <c r="B108" s="490"/>
      <c r="C108" s="552">
        <f t="shared" ref="C108:J108" si="26">C109*12</f>
        <v>0</v>
      </c>
      <c r="D108" s="552">
        <f>D109*12</f>
        <v>1200</v>
      </c>
      <c r="E108" s="552">
        <f t="shared" si="26"/>
        <v>1200</v>
      </c>
      <c r="F108" s="552">
        <f t="shared" si="26"/>
        <v>1200</v>
      </c>
      <c r="G108" s="552">
        <f t="shared" si="26"/>
        <v>1200</v>
      </c>
      <c r="H108" s="552">
        <f t="shared" si="26"/>
        <v>1200</v>
      </c>
      <c r="I108" s="552"/>
      <c r="J108" s="553">
        <f t="shared" si="26"/>
        <v>1200</v>
      </c>
      <c r="K108" s="546"/>
      <c r="L108" s="532"/>
      <c r="M108" s="532"/>
    </row>
    <row r="109" spans="1:16" s="19" customFormat="1" outlineLevel="1" x14ac:dyDescent="0.2">
      <c r="A109" s="19" t="s">
        <v>191</v>
      </c>
      <c r="B109" s="490" t="s">
        <v>146</v>
      </c>
      <c r="C109" s="535">
        <v>0</v>
      </c>
      <c r="D109" s="535">
        <v>100</v>
      </c>
      <c r="E109" s="535">
        <v>100</v>
      </c>
      <c r="F109" s="535">
        <v>100</v>
      </c>
      <c r="G109" s="535">
        <v>100</v>
      </c>
      <c r="H109" s="535">
        <v>100</v>
      </c>
      <c r="I109" s="535"/>
      <c r="J109" s="536">
        <v>100</v>
      </c>
      <c r="L109" s="532"/>
      <c r="M109" s="532"/>
    </row>
    <row r="110" spans="1:16" s="19" customFormat="1" outlineLevel="1" x14ac:dyDescent="0.2">
      <c r="B110" s="490"/>
      <c r="J110" s="21"/>
      <c r="L110" s="532"/>
      <c r="M110" s="532"/>
    </row>
    <row r="111" spans="1:16" s="19" customFormat="1" outlineLevel="1" x14ac:dyDescent="0.2">
      <c r="A111" s="531" t="s">
        <v>192</v>
      </c>
      <c r="B111" s="490" t="s">
        <v>148</v>
      </c>
      <c r="C111" s="552">
        <v>0</v>
      </c>
      <c r="D111" s="552">
        <v>300</v>
      </c>
      <c r="E111" s="552">
        <v>300</v>
      </c>
      <c r="F111" s="552">
        <v>300</v>
      </c>
      <c r="G111" s="552">
        <v>300</v>
      </c>
      <c r="H111" s="552">
        <v>300</v>
      </c>
      <c r="I111" s="552"/>
      <c r="J111" s="553">
        <v>300</v>
      </c>
      <c r="L111" s="532"/>
      <c r="M111" s="532"/>
    </row>
    <row r="112" spans="1:16" s="19" customFormat="1" outlineLevel="1" x14ac:dyDescent="0.2">
      <c r="B112" s="490"/>
      <c r="C112" s="556"/>
      <c r="D112" s="556"/>
      <c r="E112" s="556"/>
      <c r="F112" s="556"/>
      <c r="G112" s="556"/>
      <c r="H112" s="556"/>
      <c r="I112" s="556"/>
      <c r="J112" s="557"/>
      <c r="L112" s="532"/>
      <c r="M112" s="532"/>
    </row>
    <row r="113" spans="1:16" s="19" customFormat="1" outlineLevel="1" x14ac:dyDescent="0.2">
      <c r="A113" s="531" t="s">
        <v>193</v>
      </c>
      <c r="B113" s="490"/>
      <c r="C113" s="552">
        <f t="shared" ref="C113:J113" si="27">IFERROR(C114+C118,"N/A")</f>
        <v>0</v>
      </c>
      <c r="D113" s="552">
        <f t="shared" si="27"/>
        <v>900</v>
      </c>
      <c r="E113" s="552">
        <f t="shared" si="27"/>
        <v>900</v>
      </c>
      <c r="F113" s="552">
        <f t="shared" si="27"/>
        <v>600</v>
      </c>
      <c r="G113" s="552">
        <f t="shared" si="27"/>
        <v>450</v>
      </c>
      <c r="H113" s="552">
        <f t="shared" si="27"/>
        <v>450</v>
      </c>
      <c r="I113" s="552"/>
      <c r="J113" s="553">
        <f t="shared" si="27"/>
        <v>450</v>
      </c>
      <c r="K113" s="546"/>
      <c r="L113" s="532" t="s">
        <v>267</v>
      </c>
      <c r="M113" s="532"/>
    </row>
    <row r="114" spans="1:16" s="19" customFormat="1" outlineLevel="1" x14ac:dyDescent="0.25">
      <c r="A114" s="534" t="s">
        <v>194</v>
      </c>
      <c r="B114" s="490"/>
      <c r="C114" s="544">
        <f t="shared" ref="C114:J114" si="28">IFERROR(C115*C116,"N/A")</f>
        <v>0</v>
      </c>
      <c r="D114" s="544">
        <f t="shared" si="28"/>
        <v>900</v>
      </c>
      <c r="E114" s="544">
        <f t="shared" si="28"/>
        <v>900</v>
      </c>
      <c r="F114" s="544">
        <f t="shared" si="28"/>
        <v>600</v>
      </c>
      <c r="G114" s="544">
        <f t="shared" si="28"/>
        <v>450</v>
      </c>
      <c r="H114" s="544">
        <f t="shared" si="28"/>
        <v>450</v>
      </c>
      <c r="I114" s="544"/>
      <c r="J114" s="545">
        <f t="shared" si="28"/>
        <v>450</v>
      </c>
      <c r="L114" s="532"/>
      <c r="M114" s="532"/>
    </row>
    <row r="115" spans="1:16" s="19" customFormat="1" outlineLevel="1" x14ac:dyDescent="0.25">
      <c r="A115" s="558" t="s">
        <v>265</v>
      </c>
      <c r="B115" s="490" t="s">
        <v>6</v>
      </c>
      <c r="C115" s="559">
        <v>0</v>
      </c>
      <c r="D115" s="559">
        <v>0.05</v>
      </c>
      <c r="E115" s="559">
        <v>0.05</v>
      </c>
      <c r="F115" s="559">
        <v>0.05</v>
      </c>
      <c r="G115" s="559">
        <v>0.05</v>
      </c>
      <c r="H115" s="559">
        <v>0.05</v>
      </c>
      <c r="I115" s="559"/>
      <c r="J115" s="560">
        <v>0.05</v>
      </c>
      <c r="K115" s="561"/>
      <c r="L115" s="562"/>
      <c r="M115" s="532"/>
    </row>
    <row r="116" spans="1:16" s="19" customFormat="1" ht="15.75" customHeight="1" outlineLevel="1" x14ac:dyDescent="0.2">
      <c r="A116" s="558" t="s">
        <v>195</v>
      </c>
      <c r="B116" s="490" t="s">
        <v>149</v>
      </c>
      <c r="C116" s="535">
        <v>0</v>
      </c>
      <c r="D116" s="535">
        <f>12*1500</f>
        <v>18000</v>
      </c>
      <c r="E116" s="535">
        <f>12*1500</f>
        <v>18000</v>
      </c>
      <c r="F116" s="535">
        <f>12*1000</f>
        <v>12000</v>
      </c>
      <c r="G116" s="535">
        <f>12*750</f>
        <v>9000</v>
      </c>
      <c r="H116" s="535">
        <f t="shared" ref="H116:J116" si="29">12*750</f>
        <v>9000</v>
      </c>
      <c r="I116" s="535"/>
      <c r="J116" s="536">
        <f t="shared" si="29"/>
        <v>9000</v>
      </c>
      <c r="L116" s="532"/>
      <c r="M116" s="532"/>
    </row>
    <row r="117" spans="1:16" s="19" customFormat="1" outlineLevel="1" x14ac:dyDescent="0.2">
      <c r="B117" s="490"/>
      <c r="D117" s="556"/>
      <c r="E117" s="556"/>
      <c r="F117" s="556"/>
      <c r="G117" s="556"/>
      <c r="H117" s="556"/>
      <c r="I117" s="556"/>
      <c r="J117" s="557"/>
      <c r="L117" s="532"/>
      <c r="M117" s="532"/>
    </row>
    <row r="118" spans="1:16" s="19" customFormat="1" outlineLevel="1" x14ac:dyDescent="0.25">
      <c r="A118" s="534" t="s">
        <v>196</v>
      </c>
      <c r="B118" s="490"/>
      <c r="C118" s="544">
        <f t="shared" ref="C118:J118" si="30">C119*C120</f>
        <v>0</v>
      </c>
      <c r="D118" s="544">
        <f t="shared" si="30"/>
        <v>0</v>
      </c>
      <c r="E118" s="544">
        <f t="shared" si="30"/>
        <v>0</v>
      </c>
      <c r="F118" s="544">
        <f t="shared" si="30"/>
        <v>0</v>
      </c>
      <c r="G118" s="544">
        <f t="shared" si="30"/>
        <v>0</v>
      </c>
      <c r="H118" s="544">
        <f t="shared" si="30"/>
        <v>0</v>
      </c>
      <c r="I118" s="544"/>
      <c r="J118" s="545">
        <f t="shared" si="30"/>
        <v>0</v>
      </c>
      <c r="K118" s="561"/>
      <c r="L118" s="532"/>
      <c r="M118" s="532"/>
    </row>
    <row r="119" spans="1:16" s="19" customFormat="1" outlineLevel="1" x14ac:dyDescent="0.25">
      <c r="A119" s="558" t="s">
        <v>266</v>
      </c>
      <c r="B119" s="490" t="s">
        <v>151</v>
      </c>
      <c r="C119" s="563"/>
      <c r="D119" s="563"/>
      <c r="E119" s="563"/>
      <c r="F119" s="563"/>
      <c r="G119" s="563"/>
      <c r="H119" s="563"/>
      <c r="I119" s="563"/>
      <c r="J119" s="564"/>
      <c r="K119" s="561"/>
      <c r="L119" s="562"/>
      <c r="M119" s="532"/>
    </row>
    <row r="120" spans="1:16" s="19" customFormat="1" outlineLevel="1" x14ac:dyDescent="0.25">
      <c r="A120" s="558" t="s">
        <v>197</v>
      </c>
      <c r="B120" s="490" t="s">
        <v>152</v>
      </c>
      <c r="C120" s="535"/>
      <c r="D120" s="535"/>
      <c r="E120" s="535"/>
      <c r="F120" s="535"/>
      <c r="G120" s="535"/>
      <c r="H120" s="535"/>
      <c r="I120" s="535"/>
      <c r="J120" s="536"/>
      <c r="K120" s="561"/>
      <c r="L120" s="532" t="s">
        <v>267</v>
      </c>
      <c r="M120" s="532"/>
    </row>
    <row r="121" spans="1:16" s="19" customFormat="1" ht="4.5" customHeight="1" outlineLevel="1" x14ac:dyDescent="0.2">
      <c r="B121" s="490"/>
      <c r="C121" s="531"/>
      <c r="D121" s="531"/>
      <c r="E121" s="531"/>
      <c r="F121" s="531"/>
      <c r="G121" s="531"/>
      <c r="H121" s="531"/>
      <c r="I121" s="531"/>
      <c r="J121" s="27"/>
      <c r="L121" s="532"/>
      <c r="M121" s="532"/>
    </row>
    <row r="122" spans="1:16" s="19" customFormat="1" ht="14.25" customHeight="1" outlineLevel="1" x14ac:dyDescent="0.2">
      <c r="A122" s="416" t="s">
        <v>198</v>
      </c>
      <c r="B122" s="539"/>
      <c r="C122" s="548">
        <f>C124</f>
        <v>0</v>
      </c>
      <c r="D122" s="548">
        <f t="shared" ref="D122:J122" si="31">D124</f>
        <v>0</v>
      </c>
      <c r="E122" s="548">
        <f t="shared" si="31"/>
        <v>0</v>
      </c>
      <c r="F122" s="548">
        <f t="shared" si="31"/>
        <v>0</v>
      </c>
      <c r="G122" s="548">
        <f t="shared" si="31"/>
        <v>0</v>
      </c>
      <c r="H122" s="548">
        <f t="shared" si="31"/>
        <v>0</v>
      </c>
      <c r="I122" s="548"/>
      <c r="J122" s="548">
        <f t="shared" si="31"/>
        <v>0</v>
      </c>
      <c r="K122" s="528" t="s">
        <v>134</v>
      </c>
      <c r="L122" s="541"/>
      <c r="M122" s="541"/>
      <c r="N122" s="530"/>
      <c r="O122" s="528"/>
      <c r="P122" s="528"/>
    </row>
    <row r="123" spans="1:16" s="19" customFormat="1" ht="4.5" customHeight="1" outlineLevel="1" x14ac:dyDescent="0.2">
      <c r="B123" s="490"/>
      <c r="C123" s="531"/>
      <c r="D123" s="531"/>
      <c r="E123" s="531"/>
      <c r="F123" s="531"/>
      <c r="G123" s="531"/>
      <c r="H123" s="531"/>
      <c r="I123" s="531"/>
      <c r="J123" s="27"/>
      <c r="L123" s="532"/>
      <c r="M123" s="532"/>
    </row>
    <row r="124" spans="1:16" outlineLevel="1" x14ac:dyDescent="0.25">
      <c r="A124" s="12" t="s">
        <v>198</v>
      </c>
      <c r="B124" s="434" t="s">
        <v>7</v>
      </c>
      <c r="C124" s="544">
        <f>IFERROR('Fonti di finanziamento'!E171,"N/A")</f>
        <v>0</v>
      </c>
      <c r="D124" s="544">
        <f>IFERROR('Fonti di finanziamento'!F171,"N/A")</f>
        <v>0</v>
      </c>
      <c r="E124" s="544">
        <f>IFERROR('Fonti di finanziamento'!G171,"N/A")</f>
        <v>0</v>
      </c>
      <c r="F124" s="544">
        <f>IFERROR('Fonti di finanziamento'!H171,"N/A")</f>
        <v>0</v>
      </c>
      <c r="G124" s="544">
        <f>IFERROR('Fonti di finanziamento'!I171,"N/A")</f>
        <v>0</v>
      </c>
      <c r="H124" s="544">
        <f>IFERROR('Fonti di finanziamento'!J171,"N/A")</f>
        <v>0</v>
      </c>
      <c r="I124" s="544"/>
      <c r="J124" s="545">
        <f>IFERROR('Fonti di finanziamento'!L171,"N/A")</f>
        <v>0</v>
      </c>
      <c r="K124" s="546" t="s">
        <v>139</v>
      </c>
      <c r="L124" s="562"/>
      <c r="M124" s="547"/>
    </row>
    <row r="125" spans="1:16" s="19" customFormat="1" ht="4.5" customHeight="1" outlineLevel="1" x14ac:dyDescent="0.2">
      <c r="B125" s="490"/>
      <c r="C125" s="531"/>
      <c r="D125" s="531"/>
      <c r="E125" s="531"/>
      <c r="F125" s="531"/>
      <c r="G125" s="531"/>
      <c r="H125" s="531"/>
      <c r="I125" s="531"/>
      <c r="J125" s="27"/>
      <c r="L125" s="532"/>
      <c r="M125" s="532"/>
    </row>
    <row r="126" spans="1:16" s="19" customFormat="1" outlineLevel="1" x14ac:dyDescent="0.2">
      <c r="A126" s="524" t="s">
        <v>80</v>
      </c>
      <c r="B126" s="525"/>
      <c r="C126" s="526"/>
      <c r="D126" s="526"/>
      <c r="E126" s="526"/>
      <c r="F126" s="526"/>
      <c r="G126" s="526"/>
      <c r="H126" s="526"/>
      <c r="I126" s="526"/>
      <c r="J126" s="527"/>
      <c r="K126" s="528" t="s">
        <v>134</v>
      </c>
      <c r="L126" s="529"/>
      <c r="M126" s="529"/>
      <c r="N126" s="526"/>
      <c r="O126" s="526"/>
      <c r="P126" s="526"/>
    </row>
    <row r="127" spans="1:16" s="19" customFormat="1" outlineLevel="1" x14ac:dyDescent="0.2">
      <c r="A127" s="19" t="s">
        <v>199</v>
      </c>
      <c r="B127" s="490"/>
      <c r="C127" s="559"/>
      <c r="D127" s="559"/>
      <c r="E127" s="559"/>
      <c r="F127" s="559"/>
      <c r="G127" s="559"/>
      <c r="H127" s="559"/>
      <c r="I127" s="559"/>
      <c r="J127" s="560"/>
      <c r="L127" s="532"/>
      <c r="M127" s="532"/>
    </row>
    <row r="130" spans="1:1" x14ac:dyDescent="0.25">
      <c r="A130" s="565"/>
    </row>
    <row r="131" spans="1:1" x14ac:dyDescent="0.25">
      <c r="A131" s="565"/>
    </row>
    <row r="132" spans="1:1" x14ac:dyDescent="0.25">
      <c r="A132" s="565"/>
    </row>
    <row r="133" spans="1:1" x14ac:dyDescent="0.25">
      <c r="A133" s="565"/>
    </row>
    <row r="134" spans="1:1" x14ac:dyDescent="0.25">
      <c r="A134" s="565"/>
    </row>
  </sheetData>
  <mergeCells count="1">
    <mergeCell ref="A5:P5"/>
  </mergeCells>
  <hyperlinks>
    <hyperlink ref="M93" r:id="rId1" display="Grundlagenbericht Agroscope"/>
    <hyperlink ref="M78" r:id="rId2" display="Grundlagenbericht Agroscope"/>
  </hyperlinks>
  <pageMargins left="0.7" right="0.7" top="0.78740157499999996" bottom="0.78740157499999996" header="0.3" footer="0.3"/>
  <pageSetup paperSize="8" scale="40" fitToWidth="0"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2:S61"/>
  <sheetViews>
    <sheetView view="pageBreakPreview" zoomScale="80" zoomScaleNormal="100" zoomScaleSheetLayoutView="80" workbookViewId="0">
      <selection activeCell="J60" sqref="J60"/>
    </sheetView>
  </sheetViews>
  <sheetFormatPr baseColWidth="10" defaultColWidth="10.625" defaultRowHeight="15.75" x14ac:dyDescent="0.2"/>
  <cols>
    <col min="1" max="1" width="10.625" style="19"/>
    <col min="2" max="2" width="60.625" style="19" customWidth="1"/>
    <col min="3" max="3" width="13.625" style="19" customWidth="1"/>
    <col min="4" max="4" width="20.25" style="19" customWidth="1"/>
    <col min="5" max="5" width="15.875" style="19" customWidth="1"/>
    <col min="6" max="6" width="16.25" style="19" customWidth="1"/>
    <col min="7" max="7" width="40.375" style="19" customWidth="1"/>
    <col min="8" max="8" width="18.625" style="19" customWidth="1"/>
    <col min="9" max="9" width="17.875" style="19" customWidth="1"/>
    <col min="10" max="10" width="28.125" style="19" customWidth="1"/>
    <col min="11" max="16384" width="10.625" style="19"/>
  </cols>
  <sheetData>
    <row r="2" spans="1:19" s="12" customFormat="1" ht="17.45" customHeight="1" x14ac:dyDescent="0.2">
      <c r="A2" s="12">
        <v>2</v>
      </c>
      <c r="B2" s="60" t="s">
        <v>200</v>
      </c>
      <c r="C2" s="14">
        <v>0.33</v>
      </c>
      <c r="D2" s="14">
        <v>0.33</v>
      </c>
      <c r="E2" s="71" t="s">
        <v>297</v>
      </c>
      <c r="F2" s="15">
        <v>0</v>
      </c>
      <c r="G2" s="15">
        <v>0</v>
      </c>
      <c r="H2" s="16">
        <v>0.8</v>
      </c>
      <c r="J2" s="15"/>
      <c r="K2" s="17"/>
      <c r="M2" s="18"/>
      <c r="N2" s="14"/>
      <c r="O2" s="14"/>
    </row>
    <row r="3" spans="1:19" x14ac:dyDescent="0.2">
      <c r="C3" s="78" t="s">
        <v>287</v>
      </c>
      <c r="F3" s="21"/>
    </row>
    <row r="4" spans="1:19" x14ac:dyDescent="0.2">
      <c r="C4" s="22"/>
      <c r="D4" s="22"/>
      <c r="J4" s="22"/>
      <c r="K4" s="22"/>
      <c r="L4" s="22"/>
      <c r="M4" s="22"/>
      <c r="N4" s="22"/>
      <c r="O4" s="23"/>
    </row>
    <row r="5" spans="1:19" ht="27.95" customHeight="1" x14ac:dyDescent="0.2">
      <c r="B5" s="24"/>
      <c r="C5" s="809" t="s">
        <v>204</v>
      </c>
      <c r="D5" s="810"/>
      <c r="E5" s="19" t="s">
        <v>205</v>
      </c>
      <c r="G5" s="25" t="s">
        <v>207</v>
      </c>
      <c r="I5" s="26"/>
      <c r="K5" s="27"/>
      <c r="M5" s="20"/>
      <c r="N5" s="20"/>
      <c r="O5" s="20"/>
    </row>
    <row r="6" spans="1:19" ht="53.45" customHeight="1" x14ac:dyDescent="0.2">
      <c r="B6" s="28" t="s">
        <v>38</v>
      </c>
      <c r="C6" s="77" t="s">
        <v>286</v>
      </c>
      <c r="D6" s="29" t="s">
        <v>206</v>
      </c>
      <c r="E6" s="77" t="s">
        <v>286</v>
      </c>
      <c r="F6" s="29" t="s">
        <v>206</v>
      </c>
      <c r="G6" s="77" t="s">
        <v>286</v>
      </c>
      <c r="H6" s="29" t="s">
        <v>206</v>
      </c>
      <c r="I6" s="30" t="s">
        <v>208</v>
      </c>
      <c r="J6" s="25"/>
      <c r="K6" s="21"/>
      <c r="M6" s="31"/>
      <c r="N6" s="31"/>
      <c r="O6" s="30"/>
    </row>
    <row r="7" spans="1:19" x14ac:dyDescent="0.2">
      <c r="A7" s="12">
        <v>0</v>
      </c>
      <c r="B7" s="32" t="s">
        <v>201</v>
      </c>
      <c r="C7" s="33"/>
      <c r="D7" s="33"/>
      <c r="E7" s="33"/>
      <c r="F7" s="33"/>
      <c r="G7" s="33"/>
      <c r="I7" s="34"/>
      <c r="J7" s="33"/>
      <c r="K7" s="21"/>
      <c r="M7" s="35"/>
      <c r="N7" s="35"/>
      <c r="O7" s="36"/>
    </row>
    <row r="8" spans="1:19" s="12" customFormat="1" ht="27.6" customHeight="1" x14ac:dyDescent="0.2">
      <c r="A8" s="12">
        <v>1</v>
      </c>
      <c r="B8" s="13" t="s">
        <v>239</v>
      </c>
      <c r="C8" s="14">
        <v>0</v>
      </c>
      <c r="D8" s="14">
        <v>0</v>
      </c>
      <c r="E8" s="15">
        <v>0</v>
      </c>
      <c r="F8" s="15">
        <v>0</v>
      </c>
      <c r="G8" s="71" t="s">
        <v>297</v>
      </c>
      <c r="H8" s="71" t="s">
        <v>297</v>
      </c>
      <c r="I8" s="16">
        <v>0.8</v>
      </c>
      <c r="J8" s="15"/>
      <c r="K8" s="17"/>
      <c r="M8" s="14"/>
      <c r="N8" s="14"/>
      <c r="O8" s="14"/>
    </row>
    <row r="9" spans="1:19" s="12" customFormat="1" ht="25.5" customHeight="1" x14ac:dyDescent="0.2">
      <c r="A9" s="12">
        <v>2</v>
      </c>
      <c r="B9" s="76" t="s">
        <v>285</v>
      </c>
      <c r="C9" s="18">
        <v>0.2</v>
      </c>
      <c r="D9" s="18">
        <v>0.2</v>
      </c>
      <c r="E9" s="15">
        <v>0</v>
      </c>
      <c r="F9" s="15">
        <v>0</v>
      </c>
      <c r="G9" s="71" t="s">
        <v>297</v>
      </c>
      <c r="H9" s="71" t="s">
        <v>297</v>
      </c>
      <c r="I9" s="16">
        <v>0.8</v>
      </c>
      <c r="J9" s="15"/>
      <c r="K9" s="17"/>
      <c r="M9" s="18"/>
      <c r="N9" s="14"/>
      <c r="O9" s="14"/>
    </row>
    <row r="10" spans="1:19" s="12" customFormat="1" ht="35.25" customHeight="1" x14ac:dyDescent="0.2">
      <c r="A10" s="12">
        <v>3</v>
      </c>
      <c r="B10" s="37" t="s">
        <v>325</v>
      </c>
      <c r="C10" s="18">
        <v>0</v>
      </c>
      <c r="D10" s="14">
        <v>0</v>
      </c>
      <c r="E10" s="15">
        <v>0.1</v>
      </c>
      <c r="F10" s="15">
        <v>0.2</v>
      </c>
      <c r="G10" s="52">
        <f>22%+22%*E10</f>
        <v>0.24199999999999999</v>
      </c>
      <c r="H10" s="52">
        <f>22%+22%*F10</f>
        <v>0.26400000000000001</v>
      </c>
      <c r="I10" s="16">
        <v>0.9</v>
      </c>
      <c r="J10" s="15"/>
      <c r="K10" s="38"/>
      <c r="M10" s="18"/>
      <c r="N10" s="14"/>
      <c r="O10" s="14"/>
    </row>
    <row r="11" spans="1:19" s="12" customFormat="1" ht="35.25" customHeight="1" x14ac:dyDescent="0.2">
      <c r="A11" s="12">
        <v>4</v>
      </c>
      <c r="B11" s="37" t="s">
        <v>324</v>
      </c>
      <c r="C11" s="18">
        <v>0.33</v>
      </c>
      <c r="D11" s="14">
        <v>0.33</v>
      </c>
      <c r="E11" s="15">
        <v>0</v>
      </c>
      <c r="F11" s="15">
        <v>0</v>
      </c>
      <c r="G11" s="15">
        <v>0.37</v>
      </c>
      <c r="H11" s="15">
        <v>0.37</v>
      </c>
      <c r="I11" s="16">
        <v>0.8</v>
      </c>
      <c r="J11" s="15"/>
      <c r="K11" s="38"/>
      <c r="M11" s="18"/>
      <c r="N11" s="14"/>
      <c r="O11" s="14"/>
    </row>
    <row r="12" spans="1:19" s="12" customFormat="1" ht="31.5" customHeight="1" x14ac:dyDescent="0.2">
      <c r="A12" s="12">
        <v>5</v>
      </c>
      <c r="B12" s="37" t="s">
        <v>319</v>
      </c>
      <c r="C12" s="18">
        <v>0.33</v>
      </c>
      <c r="D12" s="14">
        <v>0.33</v>
      </c>
      <c r="E12" s="15">
        <v>0</v>
      </c>
      <c r="F12" s="15">
        <v>0</v>
      </c>
      <c r="G12" s="15">
        <v>0.34</v>
      </c>
      <c r="H12" s="15">
        <v>0.34</v>
      </c>
      <c r="I12" s="16">
        <v>0.8</v>
      </c>
      <c r="J12" s="15"/>
      <c r="K12" s="17"/>
      <c r="M12" s="18"/>
      <c r="N12" s="14"/>
      <c r="O12" s="14"/>
    </row>
    <row r="13" spans="1:19" s="12" customFormat="1" ht="17.25" customHeight="1" x14ac:dyDescent="0.25">
      <c r="A13" s="12">
        <v>6</v>
      </c>
      <c r="B13" s="37" t="s">
        <v>202</v>
      </c>
      <c r="C13" s="39">
        <v>0.5</v>
      </c>
      <c r="D13" s="40">
        <v>0.5</v>
      </c>
      <c r="E13" s="15">
        <v>0</v>
      </c>
      <c r="F13" s="15">
        <v>0</v>
      </c>
      <c r="G13" s="71" t="s">
        <v>297</v>
      </c>
      <c r="H13" s="71" t="s">
        <v>297</v>
      </c>
      <c r="I13" s="16">
        <v>0.8</v>
      </c>
      <c r="J13" s="15"/>
      <c r="K13" s="17"/>
      <c r="M13" s="18"/>
      <c r="N13" s="14"/>
      <c r="O13" s="14"/>
      <c r="Q13" s="41">
        <v>80</v>
      </c>
      <c r="R13" s="19" t="s">
        <v>10</v>
      </c>
      <c r="S13" s="19" t="s">
        <v>13</v>
      </c>
    </row>
    <row r="14" spans="1:19" s="12" customFormat="1" ht="15.6" customHeight="1" x14ac:dyDescent="0.2">
      <c r="A14" s="12">
        <v>7</v>
      </c>
      <c r="B14" s="42" t="s">
        <v>328</v>
      </c>
      <c r="C14" s="18">
        <v>0</v>
      </c>
      <c r="D14" s="14">
        <v>0</v>
      </c>
      <c r="E14" s="15">
        <v>0.1</v>
      </c>
      <c r="F14" s="15">
        <v>0.2</v>
      </c>
      <c r="G14" s="12" t="s">
        <v>217</v>
      </c>
      <c r="H14" s="12" t="s">
        <v>217</v>
      </c>
      <c r="I14" s="16">
        <v>0.9</v>
      </c>
      <c r="J14" s="15"/>
      <c r="K14" s="38"/>
      <c r="M14" s="18"/>
      <c r="N14" s="14"/>
      <c r="O14" s="14"/>
      <c r="Q14" s="19">
        <v>90</v>
      </c>
      <c r="R14" s="19" t="s">
        <v>12</v>
      </c>
      <c r="S14" s="19"/>
    </row>
    <row r="15" spans="1:19" s="12" customFormat="1" ht="15.6" customHeight="1" x14ac:dyDescent="0.2">
      <c r="A15" s="12">
        <v>8</v>
      </c>
      <c r="B15" s="42" t="s">
        <v>203</v>
      </c>
      <c r="C15" s="18">
        <v>0</v>
      </c>
      <c r="D15" s="14">
        <v>0</v>
      </c>
      <c r="E15" s="15">
        <v>0.1</v>
      </c>
      <c r="F15" s="15">
        <v>0.2</v>
      </c>
      <c r="G15" s="12" t="s">
        <v>217</v>
      </c>
      <c r="H15" s="12" t="s">
        <v>217</v>
      </c>
      <c r="I15" s="16">
        <v>1</v>
      </c>
      <c r="J15" s="15"/>
      <c r="K15" s="38"/>
      <c r="M15" s="18"/>
      <c r="N15" s="14"/>
      <c r="O15" s="14"/>
      <c r="Q15" s="19">
        <v>100</v>
      </c>
      <c r="R15" s="19" t="s">
        <v>11</v>
      </c>
      <c r="S15" s="19"/>
    </row>
    <row r="16" spans="1:19" s="12" customFormat="1" x14ac:dyDescent="0.2">
      <c r="A16" s="12">
        <v>9</v>
      </c>
      <c r="B16" s="79" t="s">
        <v>288</v>
      </c>
      <c r="C16" s="18">
        <v>0</v>
      </c>
      <c r="D16" s="14">
        <v>0</v>
      </c>
      <c r="E16" s="15">
        <v>0.1</v>
      </c>
      <c r="F16" s="15">
        <v>0.2</v>
      </c>
      <c r="G16" s="12" t="s">
        <v>243</v>
      </c>
      <c r="H16" s="71" t="s">
        <v>217</v>
      </c>
      <c r="I16" s="61" t="s">
        <v>218</v>
      </c>
      <c r="J16" s="15"/>
      <c r="K16" s="38"/>
    </row>
    <row r="17" spans="1:11" s="12" customFormat="1" x14ac:dyDescent="0.2">
      <c r="A17" s="12">
        <v>10</v>
      </c>
      <c r="B17" s="79" t="s">
        <v>289</v>
      </c>
      <c r="C17" s="18">
        <v>0</v>
      </c>
      <c r="D17" s="14">
        <v>0</v>
      </c>
      <c r="E17" s="15">
        <v>0.1</v>
      </c>
      <c r="F17" s="15">
        <v>0.2</v>
      </c>
      <c r="G17" s="12" t="s">
        <v>217</v>
      </c>
      <c r="H17" s="12" t="s">
        <v>217</v>
      </c>
      <c r="I17" s="16">
        <v>1</v>
      </c>
      <c r="J17" s="15"/>
      <c r="K17" s="38"/>
    </row>
    <row r="18" spans="1:11" s="12" customFormat="1" x14ac:dyDescent="0.2">
      <c r="A18" s="12">
        <v>11</v>
      </c>
      <c r="B18" s="79" t="s">
        <v>354</v>
      </c>
      <c r="C18" s="18">
        <v>0</v>
      </c>
      <c r="D18" s="14">
        <v>0</v>
      </c>
      <c r="E18" s="15">
        <v>0.1</v>
      </c>
      <c r="F18" s="15">
        <v>0.2</v>
      </c>
      <c r="G18" s="52">
        <f>22%+22%*E18</f>
        <v>0.24199999999999999</v>
      </c>
      <c r="H18" s="52">
        <f>22%+22%*F18</f>
        <v>0.26400000000000001</v>
      </c>
      <c r="I18" s="16">
        <v>1</v>
      </c>
      <c r="K18" s="17"/>
    </row>
    <row r="19" spans="1:11" x14ac:dyDescent="0.25">
      <c r="B19" s="43"/>
      <c r="C19" s="41"/>
      <c r="D19" s="41"/>
    </row>
    <row r="21" spans="1:11" ht="47.25" x14ac:dyDescent="0.2">
      <c r="B21" s="80" t="s">
        <v>275</v>
      </c>
      <c r="C21" s="44" t="s">
        <v>207</v>
      </c>
      <c r="E21" s="19" t="s">
        <v>335</v>
      </c>
    </row>
    <row r="22" spans="1:11" x14ac:dyDescent="0.2">
      <c r="B22" s="45" t="s">
        <v>201</v>
      </c>
      <c r="C22" s="44"/>
      <c r="E22" s="19" t="s">
        <v>332</v>
      </c>
    </row>
    <row r="23" spans="1:11" x14ac:dyDescent="0.2">
      <c r="B23" s="81" t="s">
        <v>290</v>
      </c>
      <c r="C23" s="46">
        <v>0.34</v>
      </c>
      <c r="E23" s="19" t="s">
        <v>333</v>
      </c>
    </row>
    <row r="24" spans="1:11" x14ac:dyDescent="0.2">
      <c r="B24" s="45" t="s">
        <v>210</v>
      </c>
      <c r="C24" s="46">
        <v>0.37</v>
      </c>
      <c r="E24" s="19" t="s">
        <v>334</v>
      </c>
    </row>
    <row r="25" spans="1:11" x14ac:dyDescent="0.2">
      <c r="B25" s="45" t="s">
        <v>327</v>
      </c>
      <c r="C25" s="46">
        <v>0.4</v>
      </c>
      <c r="E25" s="19" t="s">
        <v>290</v>
      </c>
    </row>
    <row r="27" spans="1:11" ht="63.75" thickBot="1" x14ac:dyDescent="0.25">
      <c r="B27" s="47" t="s">
        <v>212</v>
      </c>
      <c r="C27" s="47" t="s">
        <v>213</v>
      </c>
      <c r="D27" s="47" t="s">
        <v>214</v>
      </c>
      <c r="E27" s="47" t="s">
        <v>320</v>
      </c>
      <c r="F27" s="75" t="s">
        <v>292</v>
      </c>
      <c r="G27" s="19" t="s">
        <v>209</v>
      </c>
    </row>
    <row r="28" spans="1:11" ht="27.75" thickBot="1" x14ac:dyDescent="0.25">
      <c r="B28" s="53" t="s">
        <v>211</v>
      </c>
      <c r="C28" s="82" t="s">
        <v>296</v>
      </c>
      <c r="D28" s="53" t="s">
        <v>323</v>
      </c>
      <c r="E28" s="53" t="s">
        <v>321</v>
      </c>
      <c r="F28" s="59" t="s">
        <v>228</v>
      </c>
    </row>
    <row r="29" spans="1:11" ht="27.75" thickBot="1" x14ac:dyDescent="0.25">
      <c r="B29" s="53" t="s">
        <v>317</v>
      </c>
      <c r="C29" s="82" t="s">
        <v>318</v>
      </c>
      <c r="D29" s="53" t="s">
        <v>223</v>
      </c>
      <c r="E29" s="53" t="s">
        <v>322</v>
      </c>
      <c r="F29" s="72" t="s">
        <v>244</v>
      </c>
    </row>
    <row r="30" spans="1:11" x14ac:dyDescent="0.2">
      <c r="B30" s="82" t="s">
        <v>291</v>
      </c>
      <c r="C30" s="53" t="s">
        <v>220</v>
      </c>
      <c r="D30" s="53" t="s">
        <v>224</v>
      </c>
      <c r="E30" s="53" t="s">
        <v>226</v>
      </c>
      <c r="F30" s="82" t="s">
        <v>292</v>
      </c>
    </row>
    <row r="31" spans="1:11" x14ac:dyDescent="0.2">
      <c r="B31" s="53" t="s">
        <v>215</v>
      </c>
      <c r="C31" s="53" t="s">
        <v>215</v>
      </c>
      <c r="D31" s="53" t="s">
        <v>225</v>
      </c>
      <c r="E31" s="82" t="s">
        <v>295</v>
      </c>
      <c r="F31" s="54"/>
    </row>
    <row r="32" spans="1:11" x14ac:dyDescent="0.2">
      <c r="B32" s="53" t="s">
        <v>216</v>
      </c>
      <c r="C32" s="53" t="s">
        <v>221</v>
      </c>
      <c r="D32" s="83" t="s">
        <v>292</v>
      </c>
      <c r="E32" s="53" t="s">
        <v>227</v>
      </c>
      <c r="F32" s="53"/>
    </row>
    <row r="33" spans="2:14" x14ac:dyDescent="0.2">
      <c r="B33" s="53" t="s">
        <v>219</v>
      </c>
      <c r="C33" s="53" t="s">
        <v>222</v>
      </c>
      <c r="D33" s="54"/>
      <c r="E33" s="83" t="s">
        <v>292</v>
      </c>
      <c r="F33" s="53"/>
    </row>
    <row r="34" spans="2:14" x14ac:dyDescent="0.2">
      <c r="B34" s="83" t="s">
        <v>292</v>
      </c>
      <c r="C34" s="83" t="s">
        <v>292</v>
      </c>
      <c r="D34" s="53"/>
      <c r="E34" s="53"/>
      <c r="F34" s="53"/>
    </row>
    <row r="35" spans="2:14" x14ac:dyDescent="0.2">
      <c r="C35" s="62"/>
    </row>
    <row r="36" spans="2:14" x14ac:dyDescent="0.2">
      <c r="B36" s="80" t="s">
        <v>293</v>
      </c>
      <c r="D36" s="67" t="s">
        <v>242</v>
      </c>
      <c r="E36" s="68"/>
      <c r="F36" s="68"/>
    </row>
    <row r="37" spans="2:14" x14ac:dyDescent="0.2">
      <c r="B37" s="48" t="s">
        <v>230</v>
      </c>
      <c r="D37" s="69" t="s">
        <v>240</v>
      </c>
      <c r="E37" s="68"/>
      <c r="F37" s="68"/>
    </row>
    <row r="38" spans="2:14" x14ac:dyDescent="0.2">
      <c r="B38" s="48" t="s">
        <v>231</v>
      </c>
      <c r="D38" s="69" t="s">
        <v>241</v>
      </c>
      <c r="E38" s="68"/>
      <c r="F38" s="68"/>
    </row>
    <row r="39" spans="2:14" x14ac:dyDescent="0.2">
      <c r="B39" s="56" t="s">
        <v>209</v>
      </c>
      <c r="D39" s="70" t="s">
        <v>209</v>
      </c>
      <c r="E39" s="68"/>
      <c r="F39" s="68"/>
    </row>
    <row r="40" spans="2:14" x14ac:dyDescent="0.2">
      <c r="D40" s="68"/>
      <c r="E40" s="68"/>
      <c r="F40" s="68"/>
    </row>
    <row r="41" spans="2:14" x14ac:dyDescent="0.2">
      <c r="B41" s="44" t="s">
        <v>33</v>
      </c>
      <c r="D41" s="65" t="s">
        <v>229</v>
      </c>
    </row>
    <row r="42" spans="2:14" ht="25.5" x14ac:dyDescent="0.2">
      <c r="B42" s="48" t="s">
        <v>232</v>
      </c>
      <c r="D42" s="84" t="s">
        <v>294</v>
      </c>
    </row>
    <row r="43" spans="2:14" x14ac:dyDescent="0.2">
      <c r="B43" s="48" t="s">
        <v>233</v>
      </c>
      <c r="D43" s="66" t="s">
        <v>298</v>
      </c>
    </row>
    <row r="44" spans="2:14" x14ac:dyDescent="0.2">
      <c r="B44" s="56" t="s">
        <v>209</v>
      </c>
      <c r="D44" s="19" t="s">
        <v>209</v>
      </c>
    </row>
    <row r="46" spans="2:14" ht="20.25" x14ac:dyDescent="0.2">
      <c r="B46" s="73" t="s">
        <v>250</v>
      </c>
      <c r="D46" s="680" t="s">
        <v>230</v>
      </c>
      <c r="E46" s="681"/>
      <c r="F46" s="681"/>
      <c r="G46" s="681"/>
      <c r="H46" s="682"/>
      <c r="I46" s="681"/>
      <c r="J46" s="683" t="s">
        <v>346</v>
      </c>
      <c r="K46" s="681"/>
      <c r="L46" s="681"/>
      <c r="M46" s="681"/>
      <c r="N46" s="684"/>
    </row>
    <row r="47" spans="2:14" x14ac:dyDescent="0.2">
      <c r="B47" s="74" t="s">
        <v>251</v>
      </c>
      <c r="D47" s="685" t="s">
        <v>212</v>
      </c>
      <c r="E47" s="500"/>
      <c r="F47" s="500"/>
      <c r="G47" s="35" t="s">
        <v>347</v>
      </c>
      <c r="H47" s="686"/>
      <c r="I47" s="35"/>
      <c r="J47" s="687" t="s">
        <v>348</v>
      </c>
      <c r="K47" s="35"/>
      <c r="L47" s="35"/>
      <c r="M47" s="35" t="s">
        <v>347</v>
      </c>
      <c r="N47" s="21"/>
    </row>
    <row r="48" spans="2:14" x14ac:dyDescent="0.25">
      <c r="B48" s="49" t="s">
        <v>234</v>
      </c>
      <c r="D48" s="688"/>
      <c r="E48" s="500"/>
      <c r="F48" s="500"/>
      <c r="G48" s="35"/>
      <c r="H48" s="686"/>
      <c r="I48" s="35"/>
      <c r="J48" s="687"/>
      <c r="K48" s="35"/>
      <c r="L48" s="35"/>
      <c r="M48" s="35"/>
      <c r="N48" s="21"/>
    </row>
    <row r="49" spans="2:14" x14ac:dyDescent="0.25">
      <c r="B49" s="50" t="s">
        <v>235</v>
      </c>
      <c r="D49" s="688"/>
      <c r="E49" s="500"/>
      <c r="F49" s="500"/>
      <c r="G49" s="35"/>
      <c r="H49" s="686"/>
      <c r="I49" s="35"/>
      <c r="J49" s="687"/>
      <c r="K49" s="35"/>
      <c r="L49" s="35"/>
      <c r="M49" s="35"/>
      <c r="N49" s="21"/>
    </row>
    <row r="50" spans="2:14" ht="31.5" x14ac:dyDescent="0.25">
      <c r="B50" s="50" t="s">
        <v>127</v>
      </c>
      <c r="D50" s="205" t="s">
        <v>69</v>
      </c>
      <c r="E50" s="214" t="s">
        <v>345</v>
      </c>
      <c r="F50" s="500"/>
      <c r="G50" s="205" t="s">
        <v>69</v>
      </c>
      <c r="H50" s="689" t="s">
        <v>345</v>
      </c>
      <c r="I50" s="500"/>
      <c r="J50" s="214" t="s">
        <v>69</v>
      </c>
      <c r="K50" s="214" t="s">
        <v>345</v>
      </c>
      <c r="L50" s="500"/>
      <c r="M50" s="214" t="s">
        <v>69</v>
      </c>
      <c r="N50" s="214" t="s">
        <v>345</v>
      </c>
    </row>
    <row r="51" spans="2:14" x14ac:dyDescent="0.25">
      <c r="B51" s="50" t="s">
        <v>236</v>
      </c>
      <c r="D51" s="205" t="s">
        <v>338</v>
      </c>
      <c r="E51" s="214" t="s">
        <v>7</v>
      </c>
      <c r="F51" s="500"/>
      <c r="G51" s="205" t="s">
        <v>338</v>
      </c>
      <c r="H51" s="689" t="s">
        <v>7</v>
      </c>
      <c r="I51" s="500"/>
      <c r="J51" s="214" t="str">
        <f>IF('Conto economico'!M10&gt;0,"Prezzo di vendita"&amp;" "&amp;'Conto economico'!A10,"")</f>
        <v/>
      </c>
      <c r="K51" s="214" t="str">
        <f>IF('Conto economico'!M10&gt;0,"CHF/unità","")</f>
        <v/>
      </c>
      <c r="L51" s="500"/>
      <c r="M51" s="214" t="str">
        <f>IF('Conto economico'!M10&gt;0,"Prezzo di vendita"&amp;" "&amp;'Conto economico'!A10,"")</f>
        <v/>
      </c>
      <c r="N51" s="214" t="str">
        <f>IF('Conto economico'!M10&gt;0,"CHF/unità","")</f>
        <v/>
      </c>
    </row>
    <row r="52" spans="2:14" x14ac:dyDescent="0.25">
      <c r="B52" s="50" t="s">
        <v>41</v>
      </c>
      <c r="D52" s="214" t="s">
        <v>68</v>
      </c>
      <c r="E52" s="214" t="s">
        <v>364</v>
      </c>
      <c r="F52" s="500"/>
      <c r="G52" s="214" t="s">
        <v>68</v>
      </c>
      <c r="H52" s="689" t="s">
        <v>364</v>
      </c>
      <c r="I52" s="500"/>
      <c r="J52" s="214" t="str">
        <f>IF('Conto economico'!O10&gt;0,"Quantità"&amp;" "&amp;'Conto economico'!A10,"")</f>
        <v/>
      </c>
      <c r="K52" s="214" t="str">
        <f>IF('Conto economico'!O10&gt;0,"per definire","")</f>
        <v/>
      </c>
      <c r="L52" s="500"/>
      <c r="M52" s="214" t="str">
        <f>IF('Conto economico'!O10&gt;0,"Quantità"&amp;" "&amp;'Conto economico'!A10,"")</f>
        <v/>
      </c>
      <c r="N52" s="214" t="str">
        <f>IF('Conto economico'!O10&gt;0,"per definire","")</f>
        <v/>
      </c>
    </row>
    <row r="53" spans="2:14" x14ac:dyDescent="0.25">
      <c r="B53" s="50" t="s">
        <v>237</v>
      </c>
      <c r="D53" s="214" t="str">
        <f>IF('Conto economico'!M10&gt;0,"Prezzo di vendita"&amp;" "&amp;'Conto economico'!A10,"")</f>
        <v/>
      </c>
      <c r="E53" s="214" t="str">
        <f>IF('Conto economico'!M10&gt;0,"CHF/unità","")</f>
        <v/>
      </c>
      <c r="F53" s="690"/>
      <c r="G53" s="214" t="str">
        <f>IF('Conto economico'!M10&gt;0,"Prezzo di vendita"&amp;" "&amp;'Conto economico'!A10,"")</f>
        <v/>
      </c>
      <c r="H53" s="214" t="str">
        <f>IF('Conto economico'!M10&gt;0,"CHF/unità","")</f>
        <v/>
      </c>
      <c r="I53" s="690"/>
      <c r="J53" s="214" t="str">
        <f>IF('Conto economico'!M11&gt;0,"Prezzo di vendita"&amp;" "&amp;'Conto economico'!A11,"")</f>
        <v/>
      </c>
      <c r="K53" s="214" t="str">
        <f>IF('Conto economico'!M11&gt;0,"CHF/unità","")</f>
        <v/>
      </c>
      <c r="L53" s="690"/>
      <c r="M53" s="214" t="str">
        <f>IF('Conto economico'!M20&gt;0,"Prezzo della materia prima"&amp;" "&amp;'Conto economico'!A20,"")</f>
        <v/>
      </c>
      <c r="N53" s="214" t="str">
        <f>IF('Conto economico'!M20&gt;0,"CHF/unità","")</f>
        <v/>
      </c>
    </row>
    <row r="54" spans="2:14" x14ac:dyDescent="0.2">
      <c r="D54" s="214" t="str">
        <f>IF('Conto economico'!O10&gt;0,"Quantità"&amp;" "&amp;'Conto economico'!A10,"")</f>
        <v/>
      </c>
      <c r="E54" s="214" t="str">
        <f>IF('Conto economico'!O10&gt;0,"per definire","")</f>
        <v/>
      </c>
      <c r="G54" s="214" t="str">
        <f>IF('Conto economico'!O10&gt;0,"Quantità"&amp;" "&amp;'Conto economico'!A10,"")</f>
        <v/>
      </c>
      <c r="H54" s="214" t="str">
        <f>IF('Conto economico'!N10&gt;0,"per definire","")</f>
        <v/>
      </c>
      <c r="J54" s="214" t="str">
        <f>IF('Conto economico'!O11&gt;0,"Quantità"&amp;" "&amp;'Conto economico'!A11,"")</f>
        <v/>
      </c>
      <c r="K54" s="214" t="str">
        <f>IF('Conto economico'!O11&gt;0,"per definire","")</f>
        <v/>
      </c>
      <c r="M54" s="214" t="str">
        <f>IF('Conto economico'!M11&gt;0,"Prezzo di vendita"&amp;" "&amp;'Conto economico'!A11,"")</f>
        <v/>
      </c>
      <c r="N54" s="214" t="str">
        <f>IF('Conto economico'!M11&gt;0,"CHF/unità","")</f>
        <v/>
      </c>
    </row>
    <row r="55" spans="2:14" ht="15.75" customHeight="1" x14ac:dyDescent="0.2">
      <c r="B55" s="75" t="s">
        <v>253</v>
      </c>
      <c r="D55" s="214" t="str">
        <f>IF('Conto economico'!M11&gt;0,"Prezzo di vendita"&amp;" "&amp;'Conto economico'!A11,"")</f>
        <v/>
      </c>
      <c r="E55" s="214" t="str">
        <f>IF('Conto economico'!M11&gt;0,"CHF/unità","")</f>
        <v/>
      </c>
      <c r="G55" s="214" t="str">
        <f>IF('Conto economico'!M20&gt;0,"Prezzo della materia prima"&amp;" "&amp;'Conto economico'!A20,"")</f>
        <v/>
      </c>
      <c r="H55" s="214" t="str">
        <f>IF('Conto economico'!M20&gt;0,"CHF/unità","")</f>
        <v/>
      </c>
      <c r="I55" s="19" t="s">
        <v>339</v>
      </c>
      <c r="J55" s="214" t="str">
        <f>IF('Conto economico'!M12&gt;0,"Prezzo di vendita"&amp;" "&amp;'Conto economico'!A12,"")</f>
        <v/>
      </c>
      <c r="K55" s="214" t="str">
        <f>IF('Conto economico'!M12&gt;0,"CHF/unità","")</f>
        <v/>
      </c>
      <c r="M55" s="214" t="str">
        <f>IF('Conto economico'!O11&gt;0,"Quantità"&amp;" "&amp;'Conto economico'!A11,"")</f>
        <v/>
      </c>
      <c r="N55" s="214" t="str">
        <f>IF('Conto economico'!O11&gt;0,"per definire","")</f>
        <v/>
      </c>
    </row>
    <row r="56" spans="2:14" x14ac:dyDescent="0.2">
      <c r="B56" s="51" t="s">
        <v>238</v>
      </c>
      <c r="D56" s="214" t="str">
        <f>IF('Conto economico'!O11&gt;0,"Quantità"&amp;" "&amp;'Conto economico'!A11,"")</f>
        <v/>
      </c>
      <c r="E56" s="214" t="str">
        <f>IF('Conto economico'!O11&gt;0,"per definire","")</f>
        <v/>
      </c>
      <c r="G56" s="214" t="str">
        <f>IF('Conto economico'!M11&gt;0,"Prezzo di vendita"&amp;" "&amp;'Conto economico'!A11,"")</f>
        <v/>
      </c>
      <c r="H56" s="214" t="str">
        <f>IF('Conto economico'!M11&gt;0,"CHF/unità","")</f>
        <v/>
      </c>
      <c r="I56" s="19" t="s">
        <v>339</v>
      </c>
      <c r="J56" s="214" t="str">
        <f>IF('Conto economico'!O12&gt;0,"Quantità"&amp;" "&amp;'Conto economico'!A12,"")</f>
        <v/>
      </c>
      <c r="K56" s="214" t="str">
        <f>IF('Conto economico'!O12&gt;0,"per definire","")</f>
        <v/>
      </c>
      <c r="M56" s="214" t="str">
        <f>IF('Conto economico'!M21&gt;0,"Prezzo della materia prima"&amp;" "&amp;'Conto economico'!A21,"")</f>
        <v/>
      </c>
      <c r="N56" s="214" t="str">
        <f>IF('Conto economico'!M21&gt;0,"CHF/unità","")</f>
        <v/>
      </c>
    </row>
    <row r="57" spans="2:14" x14ac:dyDescent="0.2">
      <c r="B57" s="63" t="s">
        <v>232</v>
      </c>
      <c r="D57" s="214" t="str">
        <f>IF('Conto economico'!M12&gt;0,"Prezzo di vendita"&amp;" "&amp;'Conto economico'!A12,"")</f>
        <v/>
      </c>
      <c r="E57" s="214" t="str">
        <f>IF('Conto economico'!M12&gt;0,"CHF/unità","")</f>
        <v/>
      </c>
      <c r="G57" s="214" t="str">
        <f>IF('Conto economico'!O11&gt;0,"Quantità"&amp;" "&amp;'Conto economico'!A11,"")</f>
        <v/>
      </c>
      <c r="H57" s="214" t="str">
        <f>IF('Conto economico'!O11&gt;0,"per definire","")</f>
        <v/>
      </c>
      <c r="M57" s="214" t="str">
        <f>IF('Conto economico'!M12&gt;0,"Prezzo di vendita"&amp;" "&amp;'Conto economico'!A12,"")</f>
        <v/>
      </c>
      <c r="N57" s="214" t="str">
        <f>IF('Conto economico'!M12&gt;0,"CHF/unità","")</f>
        <v/>
      </c>
    </row>
    <row r="58" spans="2:14" x14ac:dyDescent="0.2">
      <c r="B58" s="64" t="s">
        <v>233</v>
      </c>
      <c r="D58" s="214" t="str">
        <f>IF('Conto economico'!O12&gt;0,"Quantità"&amp;" "&amp;'Conto economico'!A12,"")</f>
        <v/>
      </c>
      <c r="E58" s="214" t="str">
        <f>IF('Conto economico'!O12&gt;0,"per definire","")</f>
        <v/>
      </c>
      <c r="G58" s="214" t="str">
        <f>IF('Conto economico'!M21&gt;0,"Prezzo della materia prima"&amp;" "&amp;'Conto economico'!A21,"")</f>
        <v/>
      </c>
      <c r="H58" s="214" t="str">
        <f>IF('Conto economico'!M21&gt;0,"CHF/unità","")</f>
        <v/>
      </c>
      <c r="M58" s="214" t="str">
        <f>IF('Conto economico'!O12&gt;0,"Quantità"&amp;" "&amp;'Conto economico'!A12,"")</f>
        <v/>
      </c>
      <c r="N58" s="214" t="str">
        <f>IF('Conto economico'!O12&gt;0,"per definire","")</f>
        <v/>
      </c>
    </row>
    <row r="59" spans="2:14" x14ac:dyDescent="0.2">
      <c r="B59" s="57" t="s">
        <v>209</v>
      </c>
      <c r="G59" s="214" t="str">
        <f>IF('Conto economico'!M12&gt;0,"Prezzo di vendita"&amp;" "&amp;'Conto economico'!A12,"")</f>
        <v/>
      </c>
      <c r="H59" s="214" t="str">
        <f>IF('Conto economico'!M12&gt;0,"CHF/unità","")</f>
        <v/>
      </c>
      <c r="M59" s="214" t="str">
        <f>IF('Conto economico'!M22&gt;0,"Prezzo della materia prima"&amp;" "&amp;'Conto economico'!A22,"")</f>
        <v/>
      </c>
      <c r="N59" s="214" t="str">
        <f>IF('Conto economico'!M22&gt;0,"CHF/unità","")</f>
        <v/>
      </c>
    </row>
    <row r="60" spans="2:14" x14ac:dyDescent="0.2">
      <c r="G60" s="214" t="str">
        <f>IF('Conto economico'!N12&gt;0,"Quantità"&amp;" "&amp;'Conto economico'!A12,"")</f>
        <v/>
      </c>
      <c r="H60" s="214" t="str">
        <f>IF('Conto economico'!O12&gt;0,"per definire","")</f>
        <v/>
      </c>
    </row>
    <row r="61" spans="2:14" x14ac:dyDescent="0.2">
      <c r="G61" s="214" t="str">
        <f>IF('Conto economico'!L22&gt;0,"Prezzo della materia prima"&amp;" "&amp;'Conto economico'!A22,"")</f>
        <v/>
      </c>
      <c r="H61" s="214" t="str">
        <f>IF('Conto economico'!M22&gt;0,"CHF/unità","")</f>
        <v/>
      </c>
    </row>
  </sheetData>
  <mergeCells count="1">
    <mergeCell ref="C5:D5"/>
  </mergeCells>
  <pageMargins left="0" right="0" top="0" bottom="0" header="0" footer="0"/>
  <pageSetup paperSize="8" scale="61"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Panoramica SP</vt:lpstr>
      <vt:lpstr>Conto economico</vt:lpstr>
      <vt:lpstr>Fonti di finanziamento</vt:lpstr>
      <vt:lpstr>Panoramica Cashflow</vt:lpstr>
      <vt:lpstr>CMV</vt:lpstr>
      <vt:lpstr>Esempio ipotesi</vt:lpstr>
      <vt:lpstr>Dropdown input</vt:lpstr>
      <vt:lpstr>'Conto economico'!Druckbereich</vt:lpstr>
      <vt:lpstr>'Dropdown input'!Druckbereich</vt:lpstr>
      <vt:lpstr>'Esempio ipotesi'!Druckbereich</vt:lpstr>
      <vt:lpstr>'Fonti di finanziamento'!Druckbereich</vt:lpstr>
      <vt:lpstr>'Panoramica SP'!Druckbereich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2021-01-13T13:09:05Z</cp:lastPrinted>
  <dcterms:created xsi:type="dcterms:W3CDTF">2020-03-06T14:56:44Z</dcterms:created>
  <dcterms:modified xsi:type="dcterms:W3CDTF">2022-07-04T08:44:21Z</dcterms:modified>
</cp:coreProperties>
</file>